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emf" ContentType="image/x-emf"/>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25320" windowHeight="12735"/>
  </bookViews>
  <sheets>
    <sheet name="Index" sheetId="7" r:id="rId1"/>
    <sheet name="Extrusion" sheetId="2" r:id="rId2"/>
    <sheet name="Hardware" sheetId="3" r:id="rId3"/>
    <sheet name="BOM A" sheetId="4" r:id="rId4"/>
    <sheet name="BOM B" sheetId="8" r:id="rId5"/>
    <sheet name="BOM C" sheetId="9" r:id="rId6"/>
    <sheet name="BOM D" sheetId="10" r:id="rId7"/>
    <sheet name="BOM E" sheetId="11" r:id="rId8"/>
    <sheet name="BOM F" sheetId="12" r:id="rId9"/>
    <sheet name="BOM G" sheetId="14" r:id="rId10"/>
    <sheet name="BOM H" sheetId="13" r:id="rId11"/>
    <sheet name="BOM I" sheetId="15" r:id="rId12"/>
    <sheet name="BOM J" sheetId="16" r:id="rId13"/>
    <sheet name="BOM K" sheetId="17" r:id="rId14"/>
    <sheet name="BOM L" sheetId="18" r:id="rId15"/>
  </sheets>
  <externalReferences>
    <externalReference r:id="rId16"/>
  </externalReferences>
  <definedNames>
    <definedName name="_xlnm._FilterDatabase" localSheetId="1" hidden="1">Extrusion!$A$5:$K$43</definedName>
    <definedName name="_xlnm._FilterDatabase" localSheetId="0" hidden="1">Index!#REF!</definedName>
    <definedName name="ccc">'[1]F1 Hardware (2)'!$M$7:$M$8</definedName>
    <definedName name="_xlnm.Print_Area" localSheetId="3">'BOM A'!$A$1:$H$71</definedName>
    <definedName name="_xlnm.Print_Area" localSheetId="4">'BOM B'!$A$1:$H$66</definedName>
    <definedName name="_xlnm.Print_Area" localSheetId="5">'BOM C'!$A$1:$H$66</definedName>
    <definedName name="_xlnm.Print_Area" localSheetId="6">'BOM D'!$A$1:$H$67</definedName>
    <definedName name="_xlnm.Print_Area" localSheetId="7">'BOM E'!$A$1:$H$67</definedName>
    <definedName name="_xlnm.Print_Area" localSheetId="8">'BOM F'!$A$1:$H$67</definedName>
    <definedName name="_xlnm.Print_Area" localSheetId="9">'BOM G'!$A$1:$H$67</definedName>
    <definedName name="_xlnm.Print_Area" localSheetId="10">'BOM H'!$A$1:$H$67</definedName>
    <definedName name="_xlnm.Print_Area" localSheetId="11">'BOM I'!$A$1:$H$67</definedName>
    <definedName name="_xlnm.Print_Area" localSheetId="12">'BOM J'!$A$1:$H$67</definedName>
    <definedName name="_xlnm.Print_Area" localSheetId="13">'BOM K'!$A$1:$H$67</definedName>
    <definedName name="_xlnm.Print_Area" localSheetId="14">'BOM L'!$A$1:$H$67</definedName>
    <definedName name="_xlnm.Print_Area" localSheetId="1">Extrusion!$A$1:$I$51</definedName>
    <definedName name="_xlnm.Print_Area" localSheetId="2">Hardware!$A$1:$F$26</definedName>
    <definedName name="_xlnm.Print_Area" localSheetId="0">Index!$A$1:$J$65</definedName>
    <definedName name="SlH">'[1]F1 Hardware (2)'!$O$7:$O$10</definedName>
    <definedName name="SpH">'[1]F1 Hardware (2)'!$M$7:$M$8</definedName>
  </definedNames>
  <calcPr calcId="125725" iterateCount="10000"/>
</workbook>
</file>

<file path=xl/calcChain.xml><?xml version="1.0" encoding="utf-8"?>
<calcChain xmlns="http://schemas.openxmlformats.org/spreadsheetml/2006/main">
  <c r="F10" i="17"/>
  <c r="N12" i="18"/>
  <c r="N12" i="17"/>
  <c r="N13" s="1"/>
  <c r="N12" i="16"/>
  <c r="N14" s="1"/>
  <c r="P15" i="18"/>
  <c r="N15"/>
  <c r="P14"/>
  <c r="N14"/>
  <c r="P13"/>
  <c r="N13"/>
  <c r="P15" i="17"/>
  <c r="N15"/>
  <c r="P14"/>
  <c r="N14"/>
  <c r="P13"/>
  <c r="P15" i="16"/>
  <c r="P14"/>
  <c r="N15"/>
  <c r="N13"/>
  <c r="F31" i="18"/>
  <c r="F28"/>
  <c r="F30" s="1"/>
  <c r="F27"/>
  <c r="F24"/>
  <c r="F19"/>
  <c r="E19"/>
  <c r="F17"/>
  <c r="F33" s="1"/>
  <c r="F16"/>
  <c r="C12"/>
  <c r="E10"/>
  <c r="G12" s="1"/>
  <c r="E18" s="1"/>
  <c r="T32" s="1"/>
  <c r="T34" s="1"/>
  <c r="T35" s="1"/>
  <c r="F31" i="17"/>
  <c r="F28"/>
  <c r="F30" s="1"/>
  <c r="F25"/>
  <c r="F24"/>
  <c r="F19"/>
  <c r="G19" s="1"/>
  <c r="E19"/>
  <c r="F17"/>
  <c r="F33" s="1"/>
  <c r="F16"/>
  <c r="C12"/>
  <c r="E10"/>
  <c r="F28" i="16"/>
  <c r="F30" s="1"/>
  <c r="F19"/>
  <c r="E10"/>
  <c r="F10" s="1"/>
  <c r="F23" i="11"/>
  <c r="E23" i="15"/>
  <c r="E19"/>
  <c r="N12" i="13"/>
  <c r="E22"/>
  <c r="E21" i="12"/>
  <c r="E22" i="14"/>
  <c r="E19"/>
  <c r="F31" i="9"/>
  <c r="E18"/>
  <c r="F30" i="8"/>
  <c r="F30" i="4"/>
  <c r="F31" i="16"/>
  <c r="E19"/>
  <c r="G19" s="1"/>
  <c r="C12"/>
  <c r="F24"/>
  <c r="F25"/>
  <c r="F17"/>
  <c r="F34" s="1"/>
  <c r="F16"/>
  <c r="F41" i="15"/>
  <c r="F40" i="13"/>
  <c r="F38" i="14"/>
  <c r="F37" i="12"/>
  <c r="F39" i="8"/>
  <c r="F42" i="11"/>
  <c r="F41" i="10"/>
  <c r="F40" i="9"/>
  <c r="F40" i="4"/>
  <c r="F43" i="11"/>
  <c r="F41"/>
  <c r="F40"/>
  <c r="F39"/>
  <c r="F42" i="10"/>
  <c r="F40"/>
  <c r="F39"/>
  <c r="F38"/>
  <c r="F37" i="9"/>
  <c r="F40" i="8"/>
  <c r="F38"/>
  <c r="F37"/>
  <c r="F36"/>
  <c r="F41" i="9"/>
  <c r="F39"/>
  <c r="F38"/>
  <c r="F41" i="4"/>
  <c r="F39"/>
  <c r="F38"/>
  <c r="F37"/>
  <c r="C9" i="8"/>
  <c r="J35" i="12"/>
  <c r="G19" i="18" l="1"/>
  <c r="P17" i="17"/>
  <c r="F27" s="1"/>
  <c r="N17"/>
  <c r="F26" s="1"/>
  <c r="P13" i="16"/>
  <c r="N17" i="18"/>
  <c r="F25" s="1"/>
  <c r="F29" i="17"/>
  <c r="E12"/>
  <c r="E16" s="1"/>
  <c r="P17" i="18"/>
  <c r="F26" s="1"/>
  <c r="F10"/>
  <c r="E12"/>
  <c r="E17" s="1"/>
  <c r="G12" i="17"/>
  <c r="E18" s="1"/>
  <c r="P17" i="16"/>
  <c r="F27" s="1"/>
  <c r="N17"/>
  <c r="F26" s="1"/>
  <c r="G12"/>
  <c r="E18" s="1"/>
  <c r="E12"/>
  <c r="E17" s="1"/>
  <c r="G17" i="18"/>
  <c r="F29"/>
  <c r="F34"/>
  <c r="F34" i="17"/>
  <c r="F29" i="16"/>
  <c r="F33"/>
  <c r="T28" i="15"/>
  <c r="F23"/>
  <c r="D23"/>
  <c r="C23"/>
  <c r="E22"/>
  <c r="P15"/>
  <c r="N15"/>
  <c r="P14"/>
  <c r="N14"/>
  <c r="N12"/>
  <c r="F29" s="1"/>
  <c r="G12"/>
  <c r="C14" s="1"/>
  <c r="F22" i="13"/>
  <c r="F22" i="14"/>
  <c r="D22"/>
  <c r="C22"/>
  <c r="E21"/>
  <c r="P15"/>
  <c r="N15"/>
  <c r="P14"/>
  <c r="N14"/>
  <c r="N12"/>
  <c r="N13" s="1"/>
  <c r="G12"/>
  <c r="D22" i="13"/>
  <c r="C22"/>
  <c r="E21"/>
  <c r="P15"/>
  <c r="N15"/>
  <c r="P14"/>
  <c r="N14"/>
  <c r="N13"/>
  <c r="G12"/>
  <c r="C14" s="1"/>
  <c r="F21" i="12"/>
  <c r="D21"/>
  <c r="C21"/>
  <c r="P15"/>
  <c r="N15"/>
  <c r="P14"/>
  <c r="N14"/>
  <c r="N12"/>
  <c r="N13" s="1"/>
  <c r="G12"/>
  <c r="E20"/>
  <c r="T28" s="1"/>
  <c r="F33" i="11"/>
  <c r="F34" s="1"/>
  <c r="F32" i="10"/>
  <c r="F33" s="1"/>
  <c r="N12" i="11"/>
  <c r="F30" s="1"/>
  <c r="F24"/>
  <c r="F19"/>
  <c r="F18"/>
  <c r="F18" i="10"/>
  <c r="F19"/>
  <c r="N12"/>
  <c r="F29" s="1"/>
  <c r="F23"/>
  <c r="F22"/>
  <c r="E24" i="11"/>
  <c r="D24"/>
  <c r="C24"/>
  <c r="F22"/>
  <c r="E22"/>
  <c r="F20"/>
  <c r="E18"/>
  <c r="P15"/>
  <c r="N15"/>
  <c r="P14"/>
  <c r="N14"/>
  <c r="P13"/>
  <c r="G12"/>
  <c r="C9"/>
  <c r="E23" i="10"/>
  <c r="D23"/>
  <c r="C23"/>
  <c r="F21"/>
  <c r="E21"/>
  <c r="P15"/>
  <c r="N15"/>
  <c r="P14"/>
  <c r="N14"/>
  <c r="P13"/>
  <c r="G12"/>
  <c r="C9"/>
  <c r="F18" i="9"/>
  <c r="F32"/>
  <c r="E23"/>
  <c r="D23"/>
  <c r="C23"/>
  <c r="F22"/>
  <c r="E22"/>
  <c r="F20"/>
  <c r="F19"/>
  <c r="P15"/>
  <c r="N15"/>
  <c r="P14"/>
  <c r="N14"/>
  <c r="P13"/>
  <c r="G12"/>
  <c r="C9"/>
  <c r="F31" i="8"/>
  <c r="F21"/>
  <c r="E21"/>
  <c r="F22"/>
  <c r="E22"/>
  <c r="D22"/>
  <c r="C22"/>
  <c r="F19"/>
  <c r="F18"/>
  <c r="P15"/>
  <c r="N15"/>
  <c r="P14"/>
  <c r="N14"/>
  <c r="P13"/>
  <c r="N12"/>
  <c r="F28" s="1"/>
  <c r="G12"/>
  <c r="E21" i="4"/>
  <c r="E16" i="18" l="1"/>
  <c r="F32" s="1"/>
  <c r="E17" i="17"/>
  <c r="E16" i="16"/>
  <c r="T32"/>
  <c r="T34" s="1"/>
  <c r="T35" s="1"/>
  <c r="G17"/>
  <c r="G16" i="17"/>
  <c r="F32"/>
  <c r="G17"/>
  <c r="T32"/>
  <c r="T34" s="1"/>
  <c r="T35" s="1"/>
  <c r="P13" i="14"/>
  <c r="P16" s="1"/>
  <c r="F27" s="1"/>
  <c r="E9"/>
  <c r="E18" s="1"/>
  <c r="F29" s="1"/>
  <c r="C14"/>
  <c r="C14" i="12"/>
  <c r="E9"/>
  <c r="C14" i="11"/>
  <c r="G9"/>
  <c r="E9"/>
  <c r="E39" s="1"/>
  <c r="G39" s="1"/>
  <c r="E9" i="10"/>
  <c r="E38" s="1"/>
  <c r="G38" s="1"/>
  <c r="C14"/>
  <c r="P13" i="15"/>
  <c r="P16" s="1"/>
  <c r="F28" s="1"/>
  <c r="E9"/>
  <c r="P13" i="13"/>
  <c r="P16" s="1"/>
  <c r="F27" s="1"/>
  <c r="E9"/>
  <c r="P13" i="12"/>
  <c r="P16" s="1"/>
  <c r="F26" s="1"/>
  <c r="E9" i="9"/>
  <c r="E19" s="1"/>
  <c r="F30" s="1"/>
  <c r="G9"/>
  <c r="E21" s="1"/>
  <c r="G20" s="1"/>
  <c r="C14"/>
  <c r="E9" i="8"/>
  <c r="E19" s="1"/>
  <c r="C14"/>
  <c r="S30" i="10"/>
  <c r="F35" i="11"/>
  <c r="G22" i="8"/>
  <c r="G21" i="12"/>
  <c r="G22" i="13"/>
  <c r="N13" i="15"/>
  <c r="N16" s="1"/>
  <c r="F27" s="1"/>
  <c r="U29"/>
  <c r="F28" i="14"/>
  <c r="T29" i="13"/>
  <c r="G22" i="14"/>
  <c r="T28"/>
  <c r="U28"/>
  <c r="T30" i="11"/>
  <c r="S29"/>
  <c r="S29" i="8"/>
  <c r="T29" i="9"/>
  <c r="S30"/>
  <c r="F34" i="10"/>
  <c r="F32" i="8"/>
  <c r="G23" i="15"/>
  <c r="E21"/>
  <c r="U28" s="1"/>
  <c r="N16" i="13"/>
  <c r="F26" s="1"/>
  <c r="F28"/>
  <c r="N16" i="14"/>
  <c r="F26" s="1"/>
  <c r="F27" i="12"/>
  <c r="N16"/>
  <c r="F25" s="1"/>
  <c r="N13" i="11"/>
  <c r="N16" s="1"/>
  <c r="F28" s="1"/>
  <c r="G9" i="8"/>
  <c r="E20" s="1"/>
  <c r="S28" s="1"/>
  <c r="G23" i="10"/>
  <c r="F23" i="9"/>
  <c r="G23" s="1"/>
  <c r="N12"/>
  <c r="G24" i="11"/>
  <c r="N13" i="10"/>
  <c r="N16" s="1"/>
  <c r="F27" s="1"/>
  <c r="N13" i="8"/>
  <c r="N16" s="1"/>
  <c r="F26" s="1"/>
  <c r="P16" i="11"/>
  <c r="F29" s="1"/>
  <c r="G9" i="10"/>
  <c r="E20" s="1"/>
  <c r="S28" s="1"/>
  <c r="P16" i="9"/>
  <c r="F28" s="1"/>
  <c r="P16" i="10"/>
  <c r="F28" s="1"/>
  <c r="F33" i="9"/>
  <c r="P16" i="8"/>
  <c r="F27" s="1"/>
  <c r="D21" i="4"/>
  <c r="C21"/>
  <c r="C9"/>
  <c r="F28"/>
  <c r="F25"/>
  <c r="F19"/>
  <c r="F18"/>
  <c r="G12"/>
  <c r="C14" s="1"/>
  <c r="G16" i="18" l="1"/>
  <c r="F32" i="16"/>
  <c r="G16"/>
  <c r="E37" i="9"/>
  <c r="G37" s="1"/>
  <c r="E9" i="4"/>
  <c r="E37" s="1"/>
  <c r="G37" s="1"/>
  <c r="E35" i="14"/>
  <c r="G35" s="1"/>
  <c r="E19" i="11"/>
  <c r="E23"/>
  <c r="E18" i="15"/>
  <c r="F30" s="1"/>
  <c r="E20"/>
  <c r="U27" s="1"/>
  <c r="U30" s="1"/>
  <c r="U31" s="1"/>
  <c r="E38"/>
  <c r="G38" s="1"/>
  <c r="E20" i="13"/>
  <c r="T28" s="1"/>
  <c r="E37"/>
  <c r="G37" s="1"/>
  <c r="E19" i="12"/>
  <c r="T27" s="1"/>
  <c r="T31" s="1"/>
  <c r="T32" s="1"/>
  <c r="E34"/>
  <c r="G34" s="1"/>
  <c r="G9" i="4"/>
  <c r="E20" s="1"/>
  <c r="E18" i="8"/>
  <c r="F29" s="1"/>
  <c r="E36"/>
  <c r="G36" s="1"/>
  <c r="G18" i="9"/>
  <c r="S29"/>
  <c r="S32" s="1"/>
  <c r="G19" i="8"/>
  <c r="S31"/>
  <c r="F33" i="4"/>
  <c r="E20" i="14"/>
  <c r="E19" i="13"/>
  <c r="E18"/>
  <c r="F29" s="1"/>
  <c r="E18" i="12"/>
  <c r="F28" s="1"/>
  <c r="F29" i="9"/>
  <c r="N13"/>
  <c r="N16" s="1"/>
  <c r="F27" s="1"/>
  <c r="E18" i="10"/>
  <c r="F30" s="1"/>
  <c r="E22"/>
  <c r="S29" s="1"/>
  <c r="S32" s="1"/>
  <c r="S33" s="1"/>
  <c r="E19"/>
  <c r="F31" s="1"/>
  <c r="E21" i="11"/>
  <c r="E20"/>
  <c r="E20" i="9"/>
  <c r="N14" i="4"/>
  <c r="F32"/>
  <c r="F32" i="11" l="1"/>
  <c r="F31"/>
  <c r="T27" i="15"/>
  <c r="T30" s="1"/>
  <c r="T31" s="1"/>
  <c r="G19" i="12"/>
  <c r="G18" i="15"/>
  <c r="E18" i="4"/>
  <c r="F31" s="1"/>
  <c r="G18" i="8"/>
  <c r="T30" i="9"/>
  <c r="T32" s="1"/>
  <c r="G20" i="15"/>
  <c r="U27" i="14"/>
  <c r="U30" s="1"/>
  <c r="U32" s="1"/>
  <c r="G20"/>
  <c r="G19" i="10"/>
  <c r="S30" i="11"/>
  <c r="S33" s="1"/>
  <c r="S34" s="1"/>
  <c r="G18"/>
  <c r="T27" i="13"/>
  <c r="T30" s="1"/>
  <c r="T32" s="1"/>
  <c r="G19"/>
  <c r="G20" i="11"/>
  <c r="T29"/>
  <c r="T27" i="14"/>
  <c r="T30" s="1"/>
  <c r="T32" s="1"/>
  <c r="G18"/>
  <c r="G18" i="12"/>
  <c r="G18" i="13"/>
  <c r="G18" i="10"/>
  <c r="E19" i="4"/>
  <c r="F21"/>
  <c r="G21" s="1"/>
  <c r="N12"/>
  <c r="G18" l="1"/>
  <c r="N15"/>
  <c r="P13"/>
  <c r="T33" i="11"/>
  <c r="T34" s="1"/>
  <c r="S28" i="4"/>
  <c r="S30" s="1"/>
  <c r="S32" s="1"/>
  <c r="G19"/>
  <c r="P14"/>
  <c r="P15"/>
  <c r="F29"/>
  <c r="N13"/>
  <c r="N16" l="1"/>
  <c r="F26" s="1"/>
  <c r="P16"/>
  <c r="F27" s="1"/>
</calcChain>
</file>

<file path=xl/sharedStrings.xml><?xml version="1.0" encoding="utf-8"?>
<sst xmlns="http://schemas.openxmlformats.org/spreadsheetml/2006/main" count="1243" uniqueCount="212">
  <si>
    <t>Description</t>
  </si>
  <si>
    <t>Length</t>
  </si>
  <si>
    <t>AP</t>
  </si>
  <si>
    <t>PP</t>
  </si>
  <si>
    <t>Mill Finish</t>
  </si>
  <si>
    <t>EPD0262</t>
  </si>
  <si>
    <t>C/BOND MONUMENT SATIN GP129A</t>
  </si>
  <si>
    <t>BLACK SATIN GN150A</t>
  </si>
  <si>
    <t>PEARL WHITE GLOSS GA078A</t>
  </si>
  <si>
    <t>C/BOND WOODLAND GRY MAT GL205A</t>
  </si>
  <si>
    <t>EP7822</t>
  </si>
  <si>
    <t>EQ6823</t>
  </si>
  <si>
    <t>EP12031</t>
  </si>
  <si>
    <t>FENCING/SCREEN ADAPTOR 30X35</t>
  </si>
  <si>
    <t>EP15692</t>
  </si>
  <si>
    <t>EP12022</t>
  </si>
  <si>
    <t>SLAT - 38 x 16x 1.6mm</t>
  </si>
  <si>
    <t>POST - 50 x 50 x 2mm</t>
  </si>
  <si>
    <t>LOUVRE SUN CONTROL BLADE 67 x 15mm</t>
  </si>
  <si>
    <t>100 Pack</t>
  </si>
  <si>
    <t>Each</t>
  </si>
  <si>
    <t xml:space="preserve">Post Connection Bracket </t>
  </si>
  <si>
    <t xml:space="preserve">Post Cap Polymer </t>
  </si>
  <si>
    <t>Post Foot</t>
  </si>
  <si>
    <t xml:space="preserve"> Plastic End Cap Suit EQ6823</t>
  </si>
  <si>
    <t>HOLE PLUG</t>
  </si>
  <si>
    <t>Qty</t>
  </si>
  <si>
    <t>Colour</t>
  </si>
  <si>
    <t>UOM</t>
  </si>
  <si>
    <t>Image</t>
  </si>
  <si>
    <t>Black</t>
  </si>
  <si>
    <t>S/S</t>
  </si>
  <si>
    <t>Zinc</t>
  </si>
  <si>
    <t>Mill</t>
  </si>
  <si>
    <t xml:space="preserve">Account #:        </t>
  </si>
  <si>
    <t>Delivery Address:</t>
  </si>
  <si>
    <t xml:space="preserve">Fax: 1300 133 975        </t>
  </si>
  <si>
    <t>salesep@capral.com.au</t>
  </si>
  <si>
    <t>Order ##:</t>
  </si>
  <si>
    <t>Customer Name:</t>
  </si>
  <si>
    <t>Material ##</t>
  </si>
  <si>
    <t>Order Date:      /      /</t>
  </si>
  <si>
    <t>FINISH</t>
  </si>
  <si>
    <t>QTY</t>
  </si>
  <si>
    <t>FENCING/SCREEN ADAPTOR 30 X 35</t>
  </si>
  <si>
    <t>Western Red Cedar Texture</t>
  </si>
  <si>
    <t xml:space="preserve">Slat - 100 x 16 x 1.2mm </t>
  </si>
  <si>
    <t>Extrusion</t>
  </si>
  <si>
    <t>500 Pack</t>
  </si>
  <si>
    <t>200 Box</t>
  </si>
  <si>
    <t>100 Box</t>
  </si>
  <si>
    <t>1,000Box</t>
  </si>
  <si>
    <t xml:space="preserve">Order Date:          /           /                        </t>
  </si>
  <si>
    <t>Spacer Heights</t>
  </si>
  <si>
    <t>Slat Heights</t>
  </si>
  <si>
    <t>Slat Height</t>
  </si>
  <si>
    <t>Actual Slat Qty</t>
  </si>
  <si>
    <t>Spacer Height 1</t>
  </si>
  <si>
    <t>Spacer Height 2</t>
  </si>
  <si>
    <t>Spacer Height 3</t>
  </si>
  <si>
    <t>Total Spacer Height</t>
  </si>
  <si>
    <t>Approx. Slat Qty</t>
  </si>
  <si>
    <t>No. Of Panels</t>
  </si>
  <si>
    <t>Space Qty</t>
  </si>
  <si>
    <t>10mm Spacer 1</t>
  </si>
  <si>
    <t>20mm Spacer 1</t>
  </si>
  <si>
    <t>Cutting Lengths</t>
  </si>
  <si>
    <t>10mm Spacer 2</t>
  </si>
  <si>
    <t>20mm Spacer 2</t>
  </si>
  <si>
    <t>Section No.</t>
  </si>
  <si>
    <t>Qty.</t>
  </si>
  <si>
    <t>Bar Qty.</t>
  </si>
  <si>
    <t>10mm Spacer 3</t>
  </si>
  <si>
    <t>20mm Spacer 3</t>
  </si>
  <si>
    <t>Post Adaptor</t>
  </si>
  <si>
    <t>Total 10mm Spacers</t>
  </si>
  <si>
    <t>Total 20mm Spacers</t>
  </si>
  <si>
    <t>Slat</t>
  </si>
  <si>
    <t>Bill of Materials</t>
  </si>
  <si>
    <t>Component</t>
  </si>
  <si>
    <t>Product No.</t>
  </si>
  <si>
    <t>UOM*</t>
  </si>
  <si>
    <t>Adaptor End Cap</t>
  </si>
  <si>
    <t>each</t>
  </si>
  <si>
    <t>10mm Spacer</t>
  </si>
  <si>
    <t>20mm Spacer</t>
  </si>
  <si>
    <t>Hole Plug</t>
  </si>
  <si>
    <t>Fixing - Post Adaptor</t>
  </si>
  <si>
    <t>Post End Cap</t>
  </si>
  <si>
    <t>Post Horizontal</t>
  </si>
  <si>
    <t>Opening Width</t>
  </si>
  <si>
    <t>50mm Post Corner Stake</t>
  </si>
  <si>
    <t>Approx. Total Height</t>
  </si>
  <si>
    <t>Exact Total Height</t>
  </si>
  <si>
    <r>
      <t xml:space="preserve">Cutting Lengths &amp; BOM - Between Posts
</t>
    </r>
    <r>
      <rPr>
        <b/>
        <sz val="12"/>
        <color theme="3" tint="-0.249977111117893"/>
        <rFont val="Arial Narrow"/>
        <family val="2"/>
      </rPr>
      <t>(Multiple panels with or without feet)</t>
    </r>
  </si>
  <si>
    <t>INDEX</t>
  </si>
  <si>
    <t>SHEET</t>
  </si>
  <si>
    <t>MULTIPLE PANEL</t>
  </si>
  <si>
    <t>SPLIT PANEL</t>
  </si>
  <si>
    <t>BETWEEN POST</t>
  </si>
  <si>
    <t>WITH SURROUND</t>
  </si>
  <si>
    <t>WITH FEET</t>
  </si>
  <si>
    <t>WITHOUT FEET</t>
  </si>
  <si>
    <t>WITH HORIZONTAL POST ADAPTOR</t>
  </si>
  <si>
    <t>WITHOUT HORIZONTAL POST ADAPTOR</t>
  </si>
  <si>
    <t>BOM - A</t>
  </si>
  <si>
    <t>BOM - B</t>
  </si>
  <si>
    <t>BOM - C</t>
  </si>
  <si>
    <t>BOM - D</t>
  </si>
  <si>
    <t>BOM - E</t>
  </si>
  <si>
    <t>BOM - F</t>
  </si>
  <si>
    <t>BOM - G</t>
  </si>
  <si>
    <t>BOM - H</t>
  </si>
  <si>
    <t>BOM - I</t>
  </si>
  <si>
    <r>
      <t xml:space="preserve">Cutting Lengths &amp; BOM - Between Posts with Surround
</t>
    </r>
    <r>
      <rPr>
        <b/>
        <sz val="12"/>
        <color theme="3" tint="-0.249977111117893"/>
        <rFont val="Arial Narrow"/>
        <family val="2"/>
      </rPr>
      <t>(Multiple panels with or without feet and without horizontal Post Adaptor)</t>
    </r>
  </si>
  <si>
    <t>Post Connection Bracket</t>
  </si>
  <si>
    <r>
      <t xml:space="preserve">Cutting Lengths &amp; BOM - Between Posts with Surround
</t>
    </r>
    <r>
      <rPr>
        <b/>
        <sz val="12"/>
        <color theme="3" tint="-0.249977111117893"/>
        <rFont val="Arial Narrow"/>
        <family val="2"/>
      </rPr>
      <t>(Multiple panels with or without feet and with horizontal Post Adaptor)</t>
    </r>
  </si>
  <si>
    <t>Post Adaptor Vertical</t>
  </si>
  <si>
    <t>Post Adaptor Horizontal</t>
  </si>
  <si>
    <t>Mullion Post</t>
  </si>
  <si>
    <r>
      <t xml:space="preserve">Cutting Lengths &amp; BOM - Within Surround
</t>
    </r>
    <r>
      <rPr>
        <b/>
        <sz val="12"/>
        <color theme="3" tint="-0.249977111117893"/>
        <rFont val="Arial Narrow"/>
        <family val="2"/>
      </rPr>
      <t>(Single split panel with mitred corners and without horizontal Post Adaptor)</t>
    </r>
  </si>
  <si>
    <r>
      <t xml:space="preserve">Cutting Lengths &amp; BOM - Within Surround
</t>
    </r>
    <r>
      <rPr>
        <b/>
        <sz val="12"/>
        <color theme="3" tint="-0.249977111117893"/>
        <rFont val="Arial Narrow"/>
        <family val="2"/>
      </rPr>
      <t>(Single panel with mitred corners and without horizontal Post Adaptor)</t>
    </r>
  </si>
  <si>
    <r>
      <t xml:space="preserve">Cutting Lengths &amp; BOM - Within Surround
</t>
    </r>
    <r>
      <rPr>
        <b/>
        <sz val="12"/>
        <color theme="3" tint="-0.249977111117893"/>
        <rFont val="Arial Narrow"/>
        <family val="2"/>
      </rPr>
      <t>(Single panel with mitred corners and with horizontal Post Adaptor)</t>
    </r>
  </si>
  <si>
    <r>
      <t xml:space="preserve">Cutting Lengths &amp; BOM - Within Surround
</t>
    </r>
    <r>
      <rPr>
        <b/>
        <sz val="12"/>
        <color theme="3" tint="-0.249977111117893"/>
        <rFont val="Arial Narrow"/>
        <family val="2"/>
      </rPr>
      <t>(Single split panel with mitred corners and with horizontal Post Adaptor)</t>
    </r>
  </si>
  <si>
    <t>65mm Slat</t>
  </si>
  <si>
    <t>Extrusion/Component</t>
  </si>
  <si>
    <t>Section/Product No.</t>
  </si>
  <si>
    <t>Length/UOM*</t>
  </si>
  <si>
    <t>8g x 15mm PAN Screw</t>
  </si>
  <si>
    <t>Plastic End Cap</t>
  </si>
  <si>
    <t>Optional Centre Brace</t>
  </si>
  <si>
    <t>mm</t>
  </si>
  <si>
    <t>Double Sided Tape (2 x 20mm per slat)</t>
  </si>
  <si>
    <t>BOM - J</t>
  </si>
  <si>
    <t>Elliptical Louvres</t>
  </si>
  <si>
    <t>Elliptical Blade</t>
  </si>
  <si>
    <t>8g x 25mm PAN Screw - Blade Adaptor</t>
  </si>
  <si>
    <t>10g x 25mm PAN Screw - Blade</t>
  </si>
  <si>
    <r>
      <t xml:space="preserve">Cutting Lengths &amp; BOM - Elliptical Louvre Panels
</t>
    </r>
    <r>
      <rPr>
        <b/>
        <sz val="12"/>
        <color theme="3" tint="-0.249977111117893"/>
        <rFont val="Arial Narrow"/>
        <family val="2"/>
      </rPr>
      <t>(Multiple panels with or without feet)</t>
    </r>
  </si>
  <si>
    <t>Elliptical Blade Adaptor</t>
  </si>
  <si>
    <t>pair</t>
  </si>
  <si>
    <t xml:space="preserve"> Extrusion</t>
  </si>
  <si>
    <t xml:space="preserve"> Spacer Support Tool</t>
  </si>
  <si>
    <t xml:space="preserve"> Adaptor End Cap </t>
  </si>
  <si>
    <t xml:space="preserve"> Slat Spacer - 10mm </t>
  </si>
  <si>
    <t xml:space="preserve"> Slat Spacer - 20mm </t>
  </si>
  <si>
    <t xml:space="preserve"> Components</t>
  </si>
  <si>
    <r>
      <t xml:space="preserve">Cutting Lengths &amp; BOM - Between Posts with Surround
</t>
    </r>
    <r>
      <rPr>
        <b/>
        <sz val="12"/>
        <color theme="3" tint="-0.249977111117893"/>
        <rFont val="Arial Narrow"/>
        <family val="2"/>
      </rPr>
      <t>(Multiple split panels with or without feet and without horizontal Post Adaptor)</t>
    </r>
  </si>
  <si>
    <r>
      <t xml:space="preserve">Cutting Lengths &amp; BOM - Between Posts with Surround
</t>
    </r>
    <r>
      <rPr>
        <b/>
        <sz val="12"/>
        <color theme="3" tint="-0.249977111117893"/>
        <rFont val="Arial Narrow"/>
        <family val="2"/>
      </rPr>
      <t>(Multiple split panels with or without feet and with horizontal Post Adaptor)</t>
    </r>
  </si>
  <si>
    <t>Extrusions</t>
  </si>
  <si>
    <t>Components</t>
  </si>
  <si>
    <t xml:space="preserve">Order Date :          /           /                        </t>
  </si>
  <si>
    <t>Order # :</t>
  </si>
  <si>
    <t>Customer Name :</t>
  </si>
  <si>
    <t>Delivery Address :</t>
  </si>
  <si>
    <t>Min. Post Height (Without Feet)</t>
  </si>
  <si>
    <t>Min. Post Height (With Feet)</t>
  </si>
  <si>
    <t>Note: Excludes end cap height</t>
  </si>
  <si>
    <t>Total width calculation includes standard 50mm posts.</t>
  </si>
  <si>
    <t>-</t>
  </si>
  <si>
    <r>
      <rPr>
        <b/>
        <sz val="10"/>
        <color theme="1"/>
        <rFont val="Arial Narrow"/>
        <family val="2"/>
      </rPr>
      <t>Important Notes</t>
    </r>
    <r>
      <rPr>
        <sz val="10"/>
        <color theme="1"/>
        <rFont val="Arial Narrow"/>
        <family val="2"/>
      </rPr>
      <t>: This calculator has been provided as a material estimation tool only. No technical limitations have been placed upon the size of product. Your use of the tool is on the basis that you accept that Capral is not responsible for loss or damage whatsoever arising as a result of any errors contained in this tool and you will obtain separate professional advice to its application to the particular circumstances. 
This tool is the property of Capral and should not be used without Capral’s prior written consent.</t>
    </r>
  </si>
  <si>
    <r>
      <t>Total Width</t>
    </r>
    <r>
      <rPr>
        <b/>
        <sz val="8"/>
        <color theme="0"/>
        <rFont val="Arial Narrow"/>
        <family val="2"/>
      </rPr>
      <t xml:space="preserve"> 
(including posts)</t>
    </r>
  </si>
  <si>
    <t>8g x 25mm PAN Screw - Spacers</t>
  </si>
  <si>
    <r>
      <t xml:space="preserve">Exact Min. Total Height 
</t>
    </r>
    <r>
      <rPr>
        <b/>
        <sz val="8"/>
        <color theme="0"/>
        <rFont val="Arial Narrow"/>
        <family val="2"/>
      </rPr>
      <t>(with feet)</t>
    </r>
  </si>
  <si>
    <r>
      <t xml:space="preserve">Exact Min. Total Height 
</t>
    </r>
    <r>
      <rPr>
        <b/>
        <sz val="8"/>
        <color theme="0"/>
        <rFont val="Arial Narrow"/>
        <family val="2"/>
      </rPr>
      <t>(without feet)</t>
    </r>
  </si>
  <si>
    <r>
      <t xml:space="preserve">Exact Min. Total Height 
</t>
    </r>
    <r>
      <rPr>
        <b/>
        <sz val="8"/>
        <color theme="0"/>
        <rFont val="Arial Narrow"/>
        <family val="2"/>
      </rPr>
      <t>(with Feet)</t>
    </r>
  </si>
  <si>
    <r>
      <t>Total Width 
(</t>
    </r>
    <r>
      <rPr>
        <b/>
        <sz val="8"/>
        <color theme="0"/>
        <rFont val="Arial Narrow"/>
        <family val="2"/>
      </rPr>
      <t>including posts)</t>
    </r>
  </si>
  <si>
    <r>
      <t>Exact Min. Total Height</t>
    </r>
    <r>
      <rPr>
        <b/>
        <sz val="9"/>
        <color theme="0"/>
        <rFont val="Arial Narrow"/>
        <family val="2"/>
      </rPr>
      <t xml:space="preserve"> 
</t>
    </r>
    <r>
      <rPr>
        <b/>
        <sz val="8"/>
        <color theme="0"/>
        <rFont val="Arial Narrow"/>
        <family val="2"/>
      </rPr>
      <t>(without feet)</t>
    </r>
  </si>
  <si>
    <r>
      <t>Exact Min. Total Height</t>
    </r>
    <r>
      <rPr>
        <b/>
        <sz val="9"/>
        <color theme="0"/>
        <rFont val="Arial Narrow"/>
        <family val="2"/>
      </rPr>
      <t xml:space="preserve"> 
</t>
    </r>
    <r>
      <rPr>
        <b/>
        <sz val="8"/>
        <color theme="0"/>
        <rFont val="Arial Narrow"/>
        <family val="2"/>
      </rPr>
      <t>(with feet)</t>
    </r>
  </si>
  <si>
    <t>Post Vertical</t>
  </si>
  <si>
    <t>8G x 15mm PAN Screw - Post Adaptor</t>
  </si>
  <si>
    <t>Exact Total Width</t>
  </si>
  <si>
    <t>Width includes standard 50mm posts.</t>
  </si>
  <si>
    <t>Height includes standard 50mm posts.</t>
  </si>
  <si>
    <t>Post Vertical Outside</t>
  </si>
  <si>
    <t>Post Vertical Centre</t>
  </si>
  <si>
    <t>8g x 25mm PAN Screws - Spacers</t>
  </si>
  <si>
    <t>8g x 15mm PAN Screw - Post Adaptor</t>
  </si>
  <si>
    <t>8g x 15mm PAN Screw - Post Corner Stake</t>
  </si>
  <si>
    <t>8g x 15mm PAN Screw - Post Connection Bracket</t>
  </si>
  <si>
    <t>8g x 15mm PAN Screw - Post Adaptor (Mullion Post)</t>
  </si>
  <si>
    <r>
      <t xml:space="preserve">Exact Min. Total Height
</t>
    </r>
    <r>
      <rPr>
        <b/>
        <sz val="9"/>
        <color theme="0"/>
        <rFont val="Arial Narrow"/>
        <family val="2"/>
      </rPr>
      <t>(without feet)</t>
    </r>
  </si>
  <si>
    <r>
      <t xml:space="preserve">Exact Min. Total Height 
</t>
    </r>
    <r>
      <rPr>
        <b/>
        <sz val="9"/>
        <color theme="0"/>
        <rFont val="Arial Narrow"/>
        <family val="2"/>
      </rPr>
      <t>(with feet)</t>
    </r>
  </si>
  <si>
    <t>Min. Post Height (without feet)</t>
  </si>
  <si>
    <t>Min. Post Height (with Feet)</t>
  </si>
  <si>
    <t>Use the index to select the required BOM woksheet.</t>
  </si>
  <si>
    <t>BOM INSTRUCTIONS</t>
  </si>
  <si>
    <t>On the correct worksheet input the required dimensions and slat quantities into the green cells to automaticly calculate the cutting lengths and bill of materials.</t>
  </si>
  <si>
    <t>SLAT - 65 x 16 x 1.2mm</t>
  </si>
  <si>
    <t>BOM - K</t>
  </si>
  <si>
    <t>BOM - L</t>
  </si>
  <si>
    <t>65mm Angled Slats</t>
  </si>
  <si>
    <t>100mm Angled Slats</t>
  </si>
  <si>
    <t>8g x 32mm PAN Screw - Adaptor End Cap</t>
  </si>
  <si>
    <r>
      <rPr>
        <sz val="14"/>
        <color theme="1"/>
        <rFont val="Arial Narrow"/>
        <family val="2"/>
      </rPr>
      <t xml:space="preserve">                                    100mm ANGLED SLATS</t>
    </r>
    <r>
      <rPr>
        <sz val="11"/>
        <color theme="1"/>
        <rFont val="Arial Narrow"/>
        <family val="2"/>
      </rPr>
      <t xml:space="preserve">
                                                MULTIPLE PANELS WTH OR WITHOUT POST FEET</t>
    </r>
  </si>
  <si>
    <r>
      <t xml:space="preserve">Cutting Lengths &amp; BOM - 65mm Angled Slat Panels
</t>
    </r>
    <r>
      <rPr>
        <b/>
        <sz val="12"/>
        <color theme="3" tint="-0.249977111117893"/>
        <rFont val="Arial Narrow"/>
        <family val="2"/>
      </rPr>
      <t>(Multiple panels with or without feet)</t>
    </r>
  </si>
  <si>
    <r>
      <t xml:space="preserve">Cutting Lengths &amp; BOM - 100mm Angled Slat Panels
</t>
    </r>
    <r>
      <rPr>
        <b/>
        <sz val="12"/>
        <color theme="3" tint="-0.249977111117893"/>
        <rFont val="Arial Narrow"/>
        <family val="2"/>
      </rPr>
      <t>(Multiple panels with or without feet)</t>
    </r>
  </si>
  <si>
    <t>65mm Slat Adaptor</t>
  </si>
  <si>
    <t>100mm Slat</t>
  </si>
  <si>
    <t>100mm Slat Adaptor</t>
  </si>
  <si>
    <t>50 Pack</t>
  </si>
  <si>
    <t>10g x 25mm PAN Screw</t>
  </si>
  <si>
    <t>Screw 8g x 32mm PAN Screw</t>
  </si>
  <si>
    <t xml:space="preserve">Screw 8g x 25mm PAN Screw </t>
  </si>
  <si>
    <t>Elliptical Blade LH &amp; RH Adaptor</t>
  </si>
  <si>
    <r>
      <rPr>
        <b/>
        <sz val="10"/>
        <color theme="1"/>
        <rFont val="Arial Narrow"/>
        <family val="2"/>
      </rPr>
      <t>Important Notes</t>
    </r>
    <r>
      <rPr>
        <sz val="10"/>
        <color theme="1"/>
        <rFont val="Arial Narrow"/>
        <family val="2"/>
      </rPr>
      <t>: This calculator has been provided as a material estimation tool only. No technical limitations have been placed upon the size of product. Your use of the tool is on the basis that you accept that Capral is not responsible for loss or damage whatsoever arising as a result of any errors contained in this tool and you will obtain separate professional advice to its application to the particular circumstances. This tool is the property of Capral and should not be used without Capral’s prior written consent.</t>
    </r>
  </si>
  <si>
    <r>
      <rPr>
        <b/>
        <sz val="11"/>
        <color theme="3" tint="-0.249977111117893"/>
        <rFont val="Calibri"/>
        <family val="2"/>
        <scheme val="minor"/>
      </rPr>
      <t>Important Notes:</t>
    </r>
    <r>
      <rPr>
        <sz val="11"/>
        <color theme="3" tint="-0.249977111117893"/>
        <rFont val="Calibri"/>
        <family val="2"/>
        <scheme val="minor"/>
      </rPr>
      <t xml:space="preserve"> This calculator has been provided as a material estimation tool only. No technical limitations have been placed upon the size of product. Your use of the tool is on the basis that you accept that Capral is not responsible for loss or damage whatsoever arising as a result of any errors contained in this tool and you will obtain separate professional advice to its application to the particular circumstances. This tool is the property of Capral and should not be used without Capral’s prior written consent.</t>
    </r>
  </si>
  <si>
    <t>Version</t>
  </si>
  <si>
    <t>1.0 - Original Issue - September, 2016</t>
  </si>
  <si>
    <t>1.1 - Minor corrections made to screw reference &amp; addition of 320001, 320002 &amp; 320003 components. - August, 2017.</t>
  </si>
  <si>
    <t>Total 20mm Space</t>
  </si>
  <si>
    <t>1.2 - Corrections to BOM J, K &amp; L. - January 2018</t>
  </si>
</sst>
</file>

<file path=xl/styles.xml><?xml version="1.0" encoding="utf-8"?>
<styleSheet xmlns="http://schemas.openxmlformats.org/spreadsheetml/2006/main">
  <numFmts count="1">
    <numFmt numFmtId="164" formatCode="0.0"/>
  </numFmts>
  <fonts count="37">
    <font>
      <sz val="11"/>
      <color theme="1"/>
      <name val="Calibri"/>
      <family val="2"/>
      <scheme val="minor"/>
    </font>
    <font>
      <sz val="8"/>
      <color theme="1"/>
      <name val="Arial"/>
      <family val="2"/>
    </font>
    <font>
      <u/>
      <sz val="11"/>
      <color theme="10"/>
      <name val="Calibri"/>
      <family val="2"/>
    </font>
    <font>
      <sz val="11"/>
      <color theme="1"/>
      <name val="Calibri"/>
      <family val="2"/>
      <scheme val="minor"/>
    </font>
    <font>
      <sz val="8"/>
      <color theme="3" tint="-0.249977111117893"/>
      <name val="Arial"/>
      <family val="2"/>
    </font>
    <font>
      <sz val="11"/>
      <color theme="3" tint="-0.249977111117893"/>
      <name val="Calibri"/>
      <family val="2"/>
      <scheme val="minor"/>
    </font>
    <font>
      <u/>
      <sz val="11"/>
      <color indexed="12"/>
      <name val="Calibri"/>
      <family val="2"/>
    </font>
    <font>
      <b/>
      <sz val="16"/>
      <color theme="3" tint="-0.249977111117893"/>
      <name val="Calibri"/>
      <family val="2"/>
    </font>
    <font>
      <u/>
      <sz val="16"/>
      <color theme="3" tint="-0.249977111117893"/>
      <name val="Arial"/>
      <family val="2"/>
    </font>
    <font>
      <sz val="14"/>
      <color theme="3" tint="-0.249977111117893"/>
      <name val="Arial"/>
      <family val="2"/>
    </font>
    <font>
      <b/>
      <sz val="16"/>
      <color theme="3" tint="-0.249977111117893"/>
      <name val="Arial"/>
      <family val="2"/>
    </font>
    <font>
      <sz val="16"/>
      <color theme="1"/>
      <name val="Calibri"/>
      <family val="2"/>
      <scheme val="minor"/>
    </font>
    <font>
      <b/>
      <sz val="11"/>
      <color theme="3" tint="-0.249977111117893"/>
      <name val="Arial"/>
      <family val="2"/>
    </font>
    <font>
      <sz val="11"/>
      <color theme="3" tint="-0.249977111117893"/>
      <name val="Arial"/>
      <family val="2"/>
    </font>
    <font>
      <b/>
      <sz val="16"/>
      <color theme="3" tint="-0.249977111117893"/>
      <name val="Arial Narrow"/>
      <family val="2"/>
    </font>
    <font>
      <sz val="11"/>
      <color theme="1"/>
      <name val="Arial Narrow"/>
      <family val="2"/>
    </font>
    <font>
      <b/>
      <sz val="12"/>
      <color theme="0"/>
      <name val="Arial Narrow"/>
      <family val="2"/>
    </font>
    <font>
      <sz val="12"/>
      <color theme="0"/>
      <name val="Arial Narrow"/>
      <family val="2"/>
    </font>
    <font>
      <sz val="12"/>
      <name val="Arial Narrow"/>
      <family val="2"/>
    </font>
    <font>
      <sz val="12"/>
      <color theme="1"/>
      <name val="Arial Narrow"/>
      <family val="2"/>
    </font>
    <font>
      <b/>
      <sz val="14"/>
      <name val="Arial Narrow"/>
      <family val="2"/>
    </font>
    <font>
      <sz val="11"/>
      <color theme="0"/>
      <name val="Arial Narrow"/>
      <family val="2"/>
    </font>
    <font>
      <b/>
      <sz val="12"/>
      <color theme="3" tint="-0.249977111117893"/>
      <name val="Arial Narrow"/>
      <family val="2"/>
    </font>
    <font>
      <b/>
      <sz val="11"/>
      <color theme="1"/>
      <name val="Arial Narrow"/>
      <family val="2"/>
    </font>
    <font>
      <b/>
      <sz val="16"/>
      <color theme="1"/>
      <name val="Arial Narrow"/>
      <family val="2"/>
    </font>
    <font>
      <b/>
      <sz val="11"/>
      <color theme="0"/>
      <name val="Calibri"/>
      <family val="2"/>
      <scheme val="minor"/>
    </font>
    <font>
      <sz val="9"/>
      <color theme="1"/>
      <name val="Arial Narrow"/>
      <family val="2"/>
    </font>
    <font>
      <sz val="10"/>
      <color theme="1"/>
      <name val="Arial Narrow"/>
      <family val="2"/>
    </font>
    <font>
      <b/>
      <sz val="8"/>
      <color theme="0"/>
      <name val="Arial Narrow"/>
      <family val="2"/>
    </font>
    <font>
      <sz val="8"/>
      <color theme="1"/>
      <name val="Arial Narrow"/>
      <family val="2"/>
    </font>
    <font>
      <b/>
      <sz val="10"/>
      <color theme="1"/>
      <name val="Arial Narrow"/>
      <family val="2"/>
    </font>
    <font>
      <b/>
      <sz val="9"/>
      <color theme="0"/>
      <name val="Arial Narrow"/>
      <family val="2"/>
    </font>
    <font>
      <sz val="11"/>
      <color theme="0"/>
      <name val="Calibri"/>
      <family val="2"/>
      <scheme val="minor"/>
    </font>
    <font>
      <b/>
      <sz val="11"/>
      <color theme="3" tint="-0.249977111117893"/>
      <name val="Calibri"/>
      <family val="2"/>
      <scheme val="minor"/>
    </font>
    <font>
      <sz val="11"/>
      <color theme="9" tint="-0.249977111117893"/>
      <name val="Calibri"/>
      <family val="2"/>
      <scheme val="minor"/>
    </font>
    <font>
      <sz val="14"/>
      <color theme="1"/>
      <name val="Arial Narrow"/>
      <family val="2"/>
    </font>
    <font>
      <sz val="11"/>
      <name val="Calibri"/>
      <family val="2"/>
      <scheme val="minor"/>
    </font>
  </fonts>
  <fills count="8">
    <fill>
      <patternFill patternType="none"/>
    </fill>
    <fill>
      <patternFill patternType="gray125"/>
    </fill>
    <fill>
      <patternFill patternType="solid">
        <fgColor rgb="FF00A88F"/>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99"/>
        <bgColor indexed="64"/>
      </patternFill>
    </fill>
    <fill>
      <patternFill patternType="solid">
        <fgColor theme="3"/>
        <bgColor indexed="64"/>
      </patternFill>
    </fill>
    <fill>
      <patternFill patternType="solid">
        <fgColor theme="0"/>
        <bgColor indexed="64"/>
      </patternFill>
    </fill>
  </fills>
  <borders count="94">
    <border>
      <left/>
      <right/>
      <top/>
      <bottom/>
      <diagonal/>
    </border>
    <border>
      <left style="medium">
        <color rgb="FFAAAAAA"/>
      </left>
      <right style="medium">
        <color rgb="FFAAAAAA"/>
      </right>
      <top style="medium">
        <color rgb="FFAAAAAA"/>
      </top>
      <bottom style="medium">
        <color rgb="FFAAAAAA"/>
      </bottom>
      <diagonal/>
    </border>
    <border>
      <left style="medium">
        <color rgb="FFAAAAAA"/>
      </left>
      <right style="medium">
        <color rgb="FFAAAAAA"/>
      </right>
      <top style="medium">
        <color rgb="FFAAAAAA"/>
      </top>
      <bottom/>
      <diagonal/>
    </border>
    <border>
      <left style="medium">
        <color rgb="FFAAAAAA"/>
      </left>
      <right style="medium">
        <color rgb="FFAAAAAA"/>
      </right>
      <top/>
      <bottom style="medium">
        <color rgb="FFAAAAAA"/>
      </bottom>
      <diagonal/>
    </border>
    <border>
      <left style="medium">
        <color theme="0" tint="-0.34998626667073579"/>
      </left>
      <right style="thick">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thick">
        <color rgb="FFAAAAAA"/>
      </left>
      <right style="medium">
        <color rgb="FFAAAAAA"/>
      </right>
      <top style="thick">
        <color rgb="FFAAAAAA"/>
      </top>
      <bottom style="medium">
        <color rgb="FFAAAAAA"/>
      </bottom>
      <diagonal/>
    </border>
    <border>
      <left style="medium">
        <color rgb="FFAAAAAA"/>
      </left>
      <right style="medium">
        <color rgb="FFAAAAAA"/>
      </right>
      <top style="thick">
        <color rgb="FFAAAAAA"/>
      </top>
      <bottom style="medium">
        <color rgb="FFAAAAAA"/>
      </bottom>
      <diagonal/>
    </border>
    <border>
      <left style="medium">
        <color rgb="FFAAAAAA"/>
      </left>
      <right style="thick">
        <color rgb="FFAAAAAA"/>
      </right>
      <top style="thick">
        <color rgb="FFAAAAAA"/>
      </top>
      <bottom style="medium">
        <color rgb="FFAAAAAA"/>
      </bottom>
      <diagonal/>
    </border>
    <border>
      <left style="thick">
        <color rgb="FFAAAAAA"/>
      </left>
      <right style="medium">
        <color rgb="FFAAAAAA"/>
      </right>
      <top style="medium">
        <color rgb="FFAAAAAA"/>
      </top>
      <bottom style="medium">
        <color rgb="FFAAAAAA"/>
      </bottom>
      <diagonal/>
    </border>
    <border>
      <left style="medium">
        <color rgb="FFAAAAAA"/>
      </left>
      <right style="thick">
        <color rgb="FFAAAAAA"/>
      </right>
      <top style="medium">
        <color rgb="FFAAAAAA"/>
      </top>
      <bottom style="medium">
        <color rgb="FFAAAAAA"/>
      </bottom>
      <diagonal/>
    </border>
    <border>
      <left style="thick">
        <color rgb="FFAAAAAA"/>
      </left>
      <right style="medium">
        <color rgb="FFAAAAAA"/>
      </right>
      <top style="medium">
        <color rgb="FFAAAAAA"/>
      </top>
      <bottom style="thick">
        <color rgb="FFAAAAAA"/>
      </bottom>
      <diagonal/>
    </border>
    <border>
      <left style="medium">
        <color rgb="FFAAAAAA"/>
      </left>
      <right style="medium">
        <color rgb="FFAAAAAA"/>
      </right>
      <top style="medium">
        <color rgb="FFAAAAAA"/>
      </top>
      <bottom style="thick">
        <color rgb="FFAAAAAA"/>
      </bottom>
      <diagonal/>
    </border>
    <border>
      <left style="medium">
        <color rgb="FFAAAAAA"/>
      </left>
      <right style="thick">
        <color rgb="FFAAAAAA"/>
      </right>
      <top style="medium">
        <color rgb="FFAAAAAA"/>
      </top>
      <bottom style="thick">
        <color rgb="FFAAAAAA"/>
      </bottom>
      <diagonal/>
    </border>
    <border>
      <left style="thick">
        <color theme="0" tint="-0.34998626667073579"/>
      </left>
      <right style="medium">
        <color theme="0" tint="-0.34998626667073579"/>
      </right>
      <top style="thick">
        <color theme="0" tint="-0.34998626667073579"/>
      </top>
      <bottom style="medium">
        <color theme="0" tint="-0.34998626667073579"/>
      </bottom>
      <diagonal/>
    </border>
    <border>
      <left style="medium">
        <color theme="0" tint="-0.34998626667073579"/>
      </left>
      <right style="medium">
        <color theme="0" tint="-0.34998626667073579"/>
      </right>
      <top style="thick">
        <color theme="0" tint="-0.34998626667073579"/>
      </top>
      <bottom style="medium">
        <color theme="0" tint="-0.34998626667073579"/>
      </bottom>
      <diagonal/>
    </border>
    <border>
      <left style="medium">
        <color theme="0" tint="-0.34998626667073579"/>
      </left>
      <right style="thick">
        <color theme="0" tint="-0.34998626667073579"/>
      </right>
      <top style="thick">
        <color theme="0" tint="-0.34998626667073579"/>
      </top>
      <bottom style="medium">
        <color theme="0" tint="-0.34998626667073579"/>
      </bottom>
      <diagonal/>
    </border>
    <border>
      <left style="thick">
        <color theme="0" tint="-0.34998626667073579"/>
      </left>
      <right style="medium">
        <color theme="0" tint="-0.34998626667073579"/>
      </right>
      <top style="medium">
        <color theme="0" tint="-0.34998626667073579"/>
      </top>
      <bottom style="medium">
        <color theme="0" tint="-0.34998626667073579"/>
      </bottom>
      <diagonal/>
    </border>
    <border>
      <left style="thick">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ck">
        <color rgb="FFAAAAAA"/>
      </left>
      <right style="medium">
        <color rgb="FFAAAAAA"/>
      </right>
      <top/>
      <bottom style="medium">
        <color rgb="FFAAAAAA"/>
      </bottom>
      <diagonal/>
    </border>
    <border>
      <left style="thick">
        <color theme="0" tint="-0.34998626667073579"/>
      </left>
      <right/>
      <top style="thick">
        <color theme="0" tint="-0.34998626667073579"/>
      </top>
      <bottom style="thick">
        <color theme="0" tint="-0.34998626667073579"/>
      </bottom>
      <diagonal/>
    </border>
    <border>
      <left/>
      <right/>
      <top style="thick">
        <color theme="0" tint="-0.34998626667073579"/>
      </top>
      <bottom style="thick">
        <color theme="0" tint="-0.34998626667073579"/>
      </bottom>
      <diagonal/>
    </border>
    <border>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theme="0" tint="-0.34998626667073579"/>
      </right>
      <top style="medium">
        <color theme="0" tint="-0.34998626667073579"/>
      </top>
      <bottom style="thick">
        <color theme="0" tint="-0.34998626667073579"/>
      </bottom>
      <diagonal/>
    </border>
    <border>
      <left style="medium">
        <color theme="0" tint="-0.34998626667073579"/>
      </left>
      <right style="medium">
        <color theme="0" tint="-0.34998626667073579"/>
      </right>
      <top style="medium">
        <color theme="0" tint="-0.34998626667073579"/>
      </top>
      <bottom style="thick">
        <color theme="0" tint="-0.34998626667073579"/>
      </bottom>
      <diagonal/>
    </border>
    <border>
      <left style="thick">
        <color rgb="FFAAAAAA"/>
      </left>
      <right style="medium">
        <color rgb="FFAAAAAA"/>
      </right>
      <top style="medium">
        <color rgb="FFAAAAAA"/>
      </top>
      <bottom/>
      <diagonal/>
    </border>
    <border>
      <left style="medium">
        <color rgb="FFAAAAAA"/>
      </left>
      <right style="thick">
        <color rgb="FFAAAAAA"/>
      </right>
      <top style="medium">
        <color rgb="FFAAAAAA"/>
      </top>
      <bottom/>
      <diagonal/>
    </border>
    <border>
      <left style="thick">
        <color rgb="FFAAAAAA"/>
      </left>
      <right style="medium">
        <color rgb="FFAAAAAA"/>
      </right>
      <top style="thick">
        <color rgb="FFAAAAAA"/>
      </top>
      <bottom style="thick">
        <color rgb="FFAAAAAA"/>
      </bottom>
      <diagonal/>
    </border>
    <border>
      <left style="medium">
        <color rgb="FFAAAAAA"/>
      </left>
      <right style="medium">
        <color rgb="FFAAAAAA"/>
      </right>
      <top style="thick">
        <color rgb="FFAAAAAA"/>
      </top>
      <bottom style="thick">
        <color rgb="FFAAAAAA"/>
      </bottom>
      <diagonal/>
    </border>
    <border>
      <left style="medium">
        <color rgb="FFAAAAAA"/>
      </left>
      <right style="thick">
        <color rgb="FFAAAAAA"/>
      </right>
      <top style="thick">
        <color rgb="FFAAAAAA"/>
      </top>
      <bottom style="thick">
        <color rgb="FFAAAAAA"/>
      </bottom>
      <diagonal/>
    </border>
    <border>
      <left style="medium">
        <color theme="0" tint="-0.34998626667073579"/>
      </left>
      <right/>
      <top style="medium">
        <color theme="0" tint="-0.34998626667073579"/>
      </top>
      <bottom style="medium">
        <color theme="0" tint="-0.34998626667073579"/>
      </bottom>
      <diagonal/>
    </border>
    <border>
      <left/>
      <right style="thick">
        <color theme="0" tint="-0.34998626667073579"/>
      </right>
      <top style="medium">
        <color theme="0" tint="-0.34998626667073579"/>
      </top>
      <bottom style="medium">
        <color theme="0" tint="-0.34998626667073579"/>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ck">
        <color theme="0" tint="-0.499984740745262"/>
      </left>
      <right style="medium">
        <color theme="0" tint="-0.499984740745262"/>
      </right>
      <top style="thick">
        <color theme="0" tint="-0.499984740745262"/>
      </top>
      <bottom style="medium">
        <color theme="0" tint="-0.499984740745262"/>
      </bottom>
      <diagonal/>
    </border>
    <border>
      <left style="medium">
        <color theme="0" tint="-0.499984740745262"/>
      </left>
      <right style="medium">
        <color theme="0" tint="-0.499984740745262"/>
      </right>
      <top style="thick">
        <color theme="0" tint="-0.499984740745262"/>
      </top>
      <bottom style="medium">
        <color theme="0" tint="-0.499984740745262"/>
      </bottom>
      <diagonal/>
    </border>
    <border>
      <left style="medium">
        <color theme="0" tint="-0.499984740745262"/>
      </left>
      <right style="thick">
        <color theme="0" tint="-0.499984740745262"/>
      </right>
      <top style="thick">
        <color theme="0" tint="-0.499984740745262"/>
      </top>
      <bottom style="medium">
        <color theme="0" tint="-0.499984740745262"/>
      </bottom>
      <diagonal/>
    </border>
    <border>
      <left style="thick">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thick">
        <color theme="0" tint="-0.499984740745262"/>
      </right>
      <top style="medium">
        <color theme="0" tint="-0.499984740745262"/>
      </top>
      <bottom style="medium">
        <color theme="0" tint="-0.499984740745262"/>
      </bottom>
      <diagonal/>
    </border>
    <border>
      <left style="thick">
        <color theme="0" tint="-0.499984740745262"/>
      </left>
      <right style="medium">
        <color theme="0" tint="-0.499984740745262"/>
      </right>
      <top style="medium">
        <color theme="0" tint="-0.499984740745262"/>
      </top>
      <bottom style="thick">
        <color theme="0" tint="-0.499984740745262"/>
      </bottom>
      <diagonal/>
    </border>
    <border>
      <left style="medium">
        <color theme="0" tint="-0.499984740745262"/>
      </left>
      <right style="medium">
        <color theme="0" tint="-0.499984740745262"/>
      </right>
      <top style="medium">
        <color theme="0" tint="-0.499984740745262"/>
      </top>
      <bottom style="thick">
        <color theme="0" tint="-0.499984740745262"/>
      </bottom>
      <diagonal/>
    </border>
    <border>
      <left style="medium">
        <color theme="0" tint="-0.499984740745262"/>
      </left>
      <right style="thick">
        <color theme="0" tint="-0.499984740745262"/>
      </right>
      <top style="medium">
        <color theme="0" tint="-0.499984740745262"/>
      </top>
      <bottom style="thick">
        <color theme="0" tint="-0.499984740745262"/>
      </bottom>
      <diagonal/>
    </border>
    <border>
      <left style="thick">
        <color theme="0" tint="-0.499984740745262"/>
      </left>
      <right style="medium">
        <color theme="0" tint="-0.499984740745262"/>
      </right>
      <top style="thick">
        <color theme="0" tint="-0.499984740745262"/>
      </top>
      <bottom style="thick">
        <color theme="0" tint="-0.499984740745262"/>
      </bottom>
      <diagonal/>
    </border>
    <border>
      <left style="medium">
        <color theme="0" tint="-0.499984740745262"/>
      </left>
      <right style="medium">
        <color theme="0" tint="-0.499984740745262"/>
      </right>
      <top style="thick">
        <color theme="0" tint="-0.499984740745262"/>
      </top>
      <bottom style="thick">
        <color theme="0" tint="-0.499984740745262"/>
      </bottom>
      <diagonal/>
    </border>
    <border>
      <left style="medium">
        <color theme="0" tint="-0.499984740745262"/>
      </left>
      <right style="thick">
        <color theme="0" tint="-0.499984740745262"/>
      </right>
      <top style="thick">
        <color theme="0" tint="-0.499984740745262"/>
      </top>
      <bottom style="thick">
        <color theme="0" tint="-0.499984740745262"/>
      </bottom>
      <diagonal/>
    </border>
    <border>
      <left/>
      <right/>
      <top style="thick">
        <color theme="0" tint="-0.499984740745262"/>
      </top>
      <bottom style="thick">
        <color theme="0" tint="-0.499984740745262"/>
      </bottom>
      <diagonal/>
    </border>
    <border>
      <left/>
      <right/>
      <top/>
      <bottom style="thick">
        <color theme="0" tint="-0.499984740745262"/>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top/>
      <bottom style="thick">
        <color theme="0" tint="-0.34998626667073579"/>
      </bottom>
      <diagonal/>
    </border>
    <border>
      <left/>
      <right/>
      <top/>
      <bottom style="thick">
        <color theme="0" tint="-0.34998626667073579"/>
      </bottom>
      <diagonal/>
    </border>
    <border>
      <left/>
      <right style="thick">
        <color theme="0" tint="-0.34998626667073579"/>
      </right>
      <top/>
      <bottom style="thick">
        <color theme="0" tint="-0.34998626667073579"/>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thick">
        <color theme="0" tint="-0.499984740745262"/>
      </right>
      <top style="medium">
        <color theme="0" tint="-0.499984740745262"/>
      </top>
      <bottom/>
      <diagonal/>
    </border>
    <border>
      <left style="thick">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thick">
        <color theme="0" tint="-0.499984740745262"/>
      </right>
      <top/>
      <bottom style="medium">
        <color theme="0" tint="-0.499984740745262"/>
      </bottom>
      <diagonal/>
    </border>
    <border>
      <left style="medium">
        <color theme="0" tint="-0.499984740745262"/>
      </left>
      <right style="thick">
        <color theme="0" tint="-0.499984740745262"/>
      </right>
      <top/>
      <bottom/>
      <diagonal/>
    </border>
    <border>
      <left style="medium">
        <color theme="0" tint="-0.499984740745262"/>
      </left>
      <right/>
      <top style="medium">
        <color theme="0" tint="-0.499984740745262"/>
      </top>
      <bottom style="medium">
        <color theme="0" tint="-0.499984740745262"/>
      </bottom>
      <diagonal/>
    </border>
    <border>
      <left/>
      <right style="thick">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thick">
        <color theme="0" tint="-0.499984740745262"/>
      </top>
      <bottom/>
      <diagonal/>
    </border>
    <border>
      <left style="medium">
        <color theme="0" tint="-0.499984740745262"/>
      </left>
      <right style="thick">
        <color theme="0" tint="-0.499984740745262"/>
      </right>
      <top style="thick">
        <color theme="0" tint="-0.499984740745262"/>
      </top>
      <bottom/>
      <diagonal/>
    </border>
    <border>
      <left style="thick">
        <color theme="0" tint="-0.499984740745262"/>
      </left>
      <right style="medium">
        <color theme="0" tint="-0.499984740745262"/>
      </right>
      <top/>
      <bottom style="medium">
        <color theme="0" tint="-0.499984740745262"/>
      </bottom>
      <diagonal/>
    </border>
    <border>
      <left style="thick">
        <color theme="0" tint="-0.499984740745262"/>
      </left>
      <right/>
      <top style="medium">
        <color theme="0" tint="-0.499984740745262"/>
      </top>
      <bottom style="thick">
        <color theme="0" tint="-0.499984740745262"/>
      </bottom>
      <diagonal/>
    </border>
    <border>
      <left/>
      <right style="medium">
        <color theme="0" tint="-0.499984740745262"/>
      </right>
      <top style="medium">
        <color theme="0" tint="-0.499984740745262"/>
      </top>
      <bottom style="thick">
        <color theme="0" tint="-0.499984740745262"/>
      </bottom>
      <diagonal/>
    </border>
    <border>
      <left style="medium">
        <color theme="0" tint="-0.499984740745262"/>
      </left>
      <right/>
      <top style="medium">
        <color theme="0" tint="-0.499984740745262"/>
      </top>
      <bottom style="thick">
        <color theme="0" tint="-0.499984740745262"/>
      </bottom>
      <diagonal/>
    </border>
    <border>
      <left/>
      <right style="thick">
        <color theme="0" tint="-0.499984740745262"/>
      </right>
      <top style="medium">
        <color theme="0" tint="-0.499984740745262"/>
      </top>
      <bottom style="thick">
        <color theme="0" tint="-0.499984740745262"/>
      </bottom>
      <diagonal/>
    </border>
    <border>
      <left style="thick">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bottom style="medium">
        <color theme="0" tint="-0.499984740745262"/>
      </bottom>
      <diagonal/>
    </border>
    <border>
      <left/>
      <right style="thick">
        <color theme="0" tint="-0.499984740745262"/>
      </right>
      <top/>
      <bottom style="medium">
        <color theme="0" tint="-0.499984740745262"/>
      </bottom>
      <diagonal/>
    </border>
    <border>
      <left style="medium">
        <color theme="0" tint="-0.499984740745262"/>
      </left>
      <right style="medium">
        <color indexed="64"/>
      </right>
      <top style="medium">
        <color theme="0" tint="-0.499984740745262"/>
      </top>
      <bottom/>
      <diagonal/>
    </border>
    <border>
      <left style="medium">
        <color theme="0" tint="-0.499984740745262"/>
      </left>
      <right style="medium">
        <color indexed="64"/>
      </right>
      <top/>
      <bottom/>
      <diagonal/>
    </border>
    <border>
      <left style="medium">
        <color theme="0" tint="-0.499984740745262"/>
      </left>
      <right style="medium">
        <color indexed="64"/>
      </right>
      <top/>
      <bottom style="medium">
        <color theme="0" tint="-0.499984740745262"/>
      </bottom>
      <diagonal/>
    </border>
    <border>
      <left style="medium">
        <color theme="0" tint="-0.499984740745262"/>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thin">
        <color indexed="64"/>
      </left>
      <right style="thin">
        <color indexed="64"/>
      </right>
      <top style="thin">
        <color indexed="64"/>
      </top>
      <bottom style="thin">
        <color indexed="64"/>
      </bottom>
      <diagonal/>
    </border>
    <border>
      <left style="medium">
        <color theme="0" tint="-0.499984740745262"/>
      </left>
      <right style="thick">
        <color theme="0" tint="-0.499984740745262"/>
      </right>
      <top style="medium">
        <color theme="0" tint="-0.499984740745262"/>
      </top>
      <bottom style="thin">
        <color indexed="64"/>
      </bottom>
      <diagonal/>
    </border>
    <border>
      <left style="medium">
        <color theme="0" tint="-0.499984740745262"/>
      </left>
      <right style="thick">
        <color theme="0" tint="-0.499984740745262"/>
      </right>
      <top style="thin">
        <color indexed="64"/>
      </top>
      <bottom style="thin">
        <color indexed="64"/>
      </bottom>
      <diagonal/>
    </border>
    <border>
      <left style="medium">
        <color theme="0" tint="-0.499984740745262"/>
      </left>
      <right style="thick">
        <color theme="0" tint="-0.499984740745262"/>
      </right>
      <top style="thin">
        <color indexed="64"/>
      </top>
      <bottom style="medium">
        <color theme="0" tint="-0.499984740745262"/>
      </bottom>
      <diagonal/>
    </border>
    <border>
      <left style="thick">
        <color rgb="FFAAAAAA"/>
      </left>
      <right/>
      <top style="thick">
        <color rgb="FFAAAAAA"/>
      </top>
      <bottom/>
      <diagonal/>
    </border>
    <border>
      <left/>
      <right/>
      <top style="thick">
        <color rgb="FFAAAAAA"/>
      </top>
      <bottom/>
      <diagonal/>
    </border>
    <border>
      <left/>
      <right style="thick">
        <color rgb="FFAAAAAA"/>
      </right>
      <top style="thick">
        <color rgb="FFAAAAAA"/>
      </top>
      <bottom/>
      <diagonal/>
    </border>
    <border>
      <left style="thick">
        <color rgb="FFAAAAAA"/>
      </left>
      <right/>
      <top/>
      <bottom style="medium">
        <color rgb="FFAAAAAA"/>
      </bottom>
      <diagonal/>
    </border>
    <border>
      <left/>
      <right/>
      <top/>
      <bottom style="medium">
        <color rgb="FFAAAAAA"/>
      </bottom>
      <diagonal/>
    </border>
    <border>
      <left/>
      <right style="thick">
        <color rgb="FFAAAAAA"/>
      </right>
      <top/>
      <bottom style="medium">
        <color rgb="FFAAAAAA"/>
      </bottom>
      <diagonal/>
    </border>
  </borders>
  <cellStyleXfs count="4">
    <xf numFmtId="0" fontId="0" fillId="0" borderId="0"/>
    <xf numFmtId="0" fontId="2" fillId="0" borderId="0" applyNumberFormat="0" applyFill="0" applyBorder="0" applyAlignment="0" applyProtection="0">
      <alignment vertical="top"/>
      <protection locked="0"/>
    </xf>
    <xf numFmtId="0" fontId="3" fillId="5" borderId="84">
      <protection locked="0"/>
    </xf>
    <xf numFmtId="0" fontId="25" fillId="6" borderId="84"/>
  </cellStyleXfs>
  <cellXfs count="314">
    <xf numFmtId="0" fontId="0" fillId="0" borderId="0" xfId="0"/>
    <xf numFmtId="0" fontId="0" fillId="0" borderId="0" xfId="0" applyAlignment="1">
      <alignment vertical="center"/>
    </xf>
    <xf numFmtId="0" fontId="0" fillId="0" borderId="0" xfId="0" applyAlignment="1">
      <alignment horizont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1" xfId="1" applyFont="1" applyBorder="1" applyAlignment="1" applyProtection="1">
      <alignment vertical="center" wrapText="1"/>
      <protection locked="0"/>
    </xf>
    <xf numFmtId="0" fontId="3" fillId="0" borderId="0" xfId="0" applyFont="1" applyAlignment="1">
      <alignment horizontal="center" vertical="center"/>
    </xf>
    <xf numFmtId="0" fontId="5" fillId="0" borderId="0" xfId="0" applyFont="1" applyAlignment="1">
      <alignment horizontal="center"/>
    </xf>
    <xf numFmtId="0" fontId="10" fillId="0" borderId="5" xfId="0" applyFont="1" applyBorder="1" applyAlignment="1" applyProtection="1">
      <alignment vertical="top" wrapText="1"/>
      <protection locked="0"/>
    </xf>
    <xf numFmtId="0" fontId="15" fillId="0" borderId="0" xfId="0" applyFont="1" applyBorder="1" applyAlignment="1"/>
    <xf numFmtId="0" fontId="15" fillId="0" borderId="0" xfId="0" applyFont="1" applyBorder="1" applyAlignment="1">
      <alignment horizontal="center" vertical="center"/>
    </xf>
    <xf numFmtId="0" fontId="15" fillId="0" borderId="0" xfId="0" applyFont="1" applyBorder="1" applyAlignment="1">
      <alignment vertical="center"/>
    </xf>
    <xf numFmtId="0" fontId="0" fillId="0" borderId="0" xfId="0" applyAlignment="1">
      <alignment horizontal="center" vertical="center"/>
    </xf>
    <xf numFmtId="0" fontId="0" fillId="0" borderId="0" xfId="0"/>
    <xf numFmtId="0" fontId="15" fillId="0" borderId="39" xfId="0" applyFont="1" applyBorder="1" applyAlignment="1">
      <alignment horizontal="center" wrapText="1"/>
    </xf>
    <xf numFmtId="0" fontId="15" fillId="0" borderId="40" xfId="0" applyFont="1" applyBorder="1" applyAlignment="1">
      <alignment horizontal="center" wrapText="1"/>
    </xf>
    <xf numFmtId="0" fontId="15" fillId="0" borderId="40" xfId="0" applyFont="1" applyBorder="1" applyAlignment="1">
      <alignment wrapText="1"/>
    </xf>
    <xf numFmtId="0" fontId="15" fillId="0" borderId="41" xfId="0" applyFont="1" applyBorder="1" applyAlignment="1">
      <alignment wrapText="1"/>
    </xf>
    <xf numFmtId="0" fontId="15" fillId="0" borderId="40" xfId="0" applyFont="1" applyFill="1" applyBorder="1" applyAlignment="1">
      <alignment horizontal="center" wrapText="1"/>
    </xf>
    <xf numFmtId="0" fontId="15" fillId="0" borderId="42" xfId="0" applyFont="1" applyBorder="1" applyAlignment="1">
      <alignment horizontal="center" wrapText="1"/>
    </xf>
    <xf numFmtId="0" fontId="15" fillId="0" borderId="43" xfId="0" applyFont="1" applyBorder="1" applyAlignment="1">
      <alignment horizontal="center" wrapText="1"/>
    </xf>
    <xf numFmtId="0" fontId="15" fillId="0" borderId="43" xfId="0" applyFont="1" applyBorder="1" applyAlignment="1">
      <alignment wrapText="1"/>
    </xf>
    <xf numFmtId="0" fontId="15" fillId="0" borderId="44" xfId="0" applyFont="1" applyBorder="1" applyAlignment="1">
      <alignment wrapText="1"/>
    </xf>
    <xf numFmtId="0" fontId="15" fillId="2" borderId="40" xfId="0" applyFont="1" applyFill="1" applyBorder="1" applyAlignment="1">
      <alignment horizontal="center" wrapText="1"/>
    </xf>
    <xf numFmtId="0" fontId="15" fillId="2" borderId="40" xfId="0" applyFont="1" applyFill="1" applyBorder="1" applyAlignment="1">
      <alignment wrapText="1"/>
    </xf>
    <xf numFmtId="0" fontId="15" fillId="2" borderId="43" xfId="0" applyFont="1" applyFill="1" applyBorder="1" applyAlignment="1">
      <alignment wrapText="1"/>
    </xf>
    <xf numFmtId="0" fontId="15" fillId="2" borderId="43" xfId="0" applyFont="1" applyFill="1" applyBorder="1" applyAlignment="1">
      <alignment horizontal="center" wrapText="1"/>
    </xf>
    <xf numFmtId="0" fontId="15" fillId="2" borderId="41" xfId="0" applyFont="1" applyFill="1" applyBorder="1" applyAlignment="1">
      <alignment wrapText="1"/>
    </xf>
    <xf numFmtId="0" fontId="17" fillId="2" borderId="42" xfId="0" applyFont="1" applyFill="1" applyBorder="1" applyAlignment="1" applyProtection="1">
      <alignment horizontal="center"/>
      <protection locked="0"/>
    </xf>
    <xf numFmtId="1" fontId="17" fillId="2" borderId="43" xfId="0" applyNumberFormat="1" applyFont="1" applyFill="1" applyBorder="1" applyAlignment="1" applyProtection="1">
      <alignment horizontal="center"/>
      <protection locked="0"/>
    </xf>
    <xf numFmtId="0" fontId="17" fillId="2" borderId="43" xfId="0" applyFont="1" applyFill="1" applyBorder="1" applyAlignment="1" applyProtection="1">
      <alignment horizontal="center" vertical="center"/>
      <protection locked="0"/>
    </xf>
    <xf numFmtId="0" fontId="17" fillId="2" borderId="47" xfId="0" applyFont="1" applyFill="1" applyBorder="1" applyAlignment="1" applyProtection="1">
      <alignment horizontal="center"/>
      <protection locked="0"/>
    </xf>
    <xf numFmtId="0" fontId="17" fillId="2" borderId="47" xfId="0" applyFont="1" applyFill="1" applyBorder="1" applyAlignment="1" applyProtection="1">
      <alignment horizontal="center" vertical="center"/>
      <protection locked="0"/>
    </xf>
    <xf numFmtId="0" fontId="15" fillId="0" borderId="53" xfId="0" applyFont="1" applyBorder="1"/>
    <xf numFmtId="0" fontId="15" fillId="0" borderId="54" xfId="0" applyFont="1" applyBorder="1"/>
    <xf numFmtId="0" fontId="0" fillId="0" borderId="0" xfId="0" applyBorder="1" applyAlignment="1">
      <alignment horizontal="center" vertical="center"/>
    </xf>
    <xf numFmtId="0" fontId="15" fillId="0" borderId="0" xfId="0" applyFont="1" applyBorder="1"/>
    <xf numFmtId="0" fontId="0" fillId="0" borderId="54" xfId="0" applyBorder="1"/>
    <xf numFmtId="0" fontId="0" fillId="0" borderId="53" xfId="0" applyBorder="1"/>
    <xf numFmtId="0" fontId="0" fillId="0" borderId="0" xfId="0" applyBorder="1"/>
    <xf numFmtId="0" fontId="0" fillId="0" borderId="55" xfId="0" applyBorder="1"/>
    <xf numFmtId="0" fontId="0" fillId="0" borderId="56" xfId="0" applyBorder="1"/>
    <xf numFmtId="0" fontId="0" fillId="0" borderId="56" xfId="0" applyBorder="1" applyAlignment="1">
      <alignment horizontal="center" vertical="center"/>
    </xf>
    <xf numFmtId="0" fontId="0" fillId="0" borderId="57" xfId="0" applyBorder="1"/>
    <xf numFmtId="0" fontId="15" fillId="0" borderId="40" xfId="0" applyFont="1" applyFill="1" applyBorder="1" applyAlignment="1">
      <alignment wrapText="1"/>
    </xf>
    <xf numFmtId="0" fontId="15" fillId="0" borderId="43" xfId="0" applyFont="1" applyFill="1" applyBorder="1" applyAlignment="1">
      <alignment wrapText="1"/>
    </xf>
    <xf numFmtId="0" fontId="0" fillId="0" borderId="0" xfId="0"/>
    <xf numFmtId="1" fontId="17" fillId="2" borderId="82" xfId="0" applyNumberFormat="1" applyFont="1" applyFill="1" applyBorder="1" applyAlignment="1" applyProtection="1">
      <alignment horizontal="center"/>
      <protection locked="0"/>
    </xf>
    <xf numFmtId="0" fontId="15" fillId="0" borderId="50" xfId="0" applyFont="1" applyBorder="1" applyProtection="1"/>
    <xf numFmtId="0" fontId="15" fillId="0" borderId="51" xfId="0" applyFont="1" applyBorder="1" applyProtection="1"/>
    <xf numFmtId="0" fontId="15" fillId="0" borderId="51" xfId="0" applyFont="1" applyBorder="1" applyAlignment="1" applyProtection="1">
      <alignment horizontal="center" vertical="center"/>
    </xf>
    <xf numFmtId="0" fontId="15" fillId="0" borderId="52" xfId="0" applyFont="1" applyBorder="1" applyProtection="1"/>
    <xf numFmtId="0" fontId="15" fillId="0" borderId="53" xfId="0" applyFont="1" applyBorder="1" applyProtection="1"/>
    <xf numFmtId="0" fontId="16" fillId="4" borderId="45" xfId="0" applyFont="1" applyFill="1" applyBorder="1" applyAlignment="1" applyProtection="1">
      <alignment horizontal="center"/>
    </xf>
    <xf numFmtId="0" fontId="16" fillId="4" borderId="45" xfId="0" applyFont="1" applyFill="1" applyBorder="1" applyAlignment="1" applyProtection="1">
      <alignment horizontal="center" vertical="center"/>
    </xf>
    <xf numFmtId="0" fontId="16" fillId="4" borderId="45" xfId="0" applyFont="1" applyFill="1" applyBorder="1" applyAlignment="1" applyProtection="1">
      <alignment horizontal="right"/>
    </xf>
    <xf numFmtId="0" fontId="15" fillId="0" borderId="54" xfId="0" applyFont="1" applyBorder="1" applyProtection="1"/>
    <xf numFmtId="0" fontId="15" fillId="0" borderId="53" xfId="0" applyFont="1" applyFill="1" applyBorder="1" applyProtection="1"/>
    <xf numFmtId="0" fontId="16" fillId="0" borderId="48" xfId="0" applyFont="1" applyFill="1" applyBorder="1" applyAlignment="1" applyProtection="1">
      <alignment horizontal="center"/>
    </xf>
    <xf numFmtId="0" fontId="17" fillId="0" borderId="48" xfId="0" applyFont="1" applyFill="1" applyBorder="1" applyAlignment="1" applyProtection="1">
      <alignment horizontal="center"/>
    </xf>
    <xf numFmtId="0" fontId="16" fillId="0" borderId="48" xfId="0" applyFont="1" applyFill="1" applyBorder="1" applyAlignment="1" applyProtection="1">
      <alignment horizontal="center" vertical="center"/>
    </xf>
    <xf numFmtId="0" fontId="17" fillId="0" borderId="48" xfId="0" applyFont="1" applyFill="1" applyBorder="1" applyAlignment="1" applyProtection="1">
      <alignment horizontal="center" vertical="center"/>
    </xf>
    <xf numFmtId="0" fontId="16" fillId="0" borderId="0" xfId="0" applyFont="1" applyFill="1" applyBorder="1" applyAlignment="1" applyProtection="1">
      <alignment horizontal="right"/>
    </xf>
    <xf numFmtId="1" fontId="21" fillId="0" borderId="0" xfId="0" applyNumberFormat="1" applyFont="1" applyFill="1" applyBorder="1" applyAlignment="1" applyProtection="1">
      <alignment horizontal="center"/>
    </xf>
    <xf numFmtId="0" fontId="18" fillId="3" borderId="47" xfId="0" applyFont="1" applyFill="1" applyBorder="1" applyAlignment="1" applyProtection="1">
      <alignment horizontal="center" vertical="center"/>
    </xf>
    <xf numFmtId="0" fontId="19" fillId="0" borderId="0" xfId="0" applyFont="1" applyBorder="1" applyAlignment="1" applyProtection="1">
      <alignment horizontal="center" vertical="center"/>
    </xf>
    <xf numFmtId="0" fontId="19" fillId="0" borderId="0" xfId="0" applyFont="1" applyBorder="1" applyProtection="1"/>
    <xf numFmtId="0" fontId="16" fillId="4" borderId="36" xfId="0" applyFont="1" applyFill="1" applyBorder="1" applyAlignment="1" applyProtection="1">
      <alignment horizontal="center"/>
    </xf>
    <xf numFmtId="0" fontId="16" fillId="4" borderId="37" xfId="0" applyFont="1" applyFill="1" applyBorder="1" applyAlignment="1" applyProtection="1">
      <alignment horizontal="center"/>
    </xf>
    <xf numFmtId="0" fontId="16" fillId="4" borderId="37" xfId="0" applyFont="1" applyFill="1" applyBorder="1" applyAlignment="1" applyProtection="1">
      <alignment horizontal="center" vertical="center"/>
    </xf>
    <xf numFmtId="0" fontId="16" fillId="4" borderId="38" xfId="0" applyFont="1" applyFill="1" applyBorder="1" applyAlignment="1" applyProtection="1">
      <alignment horizontal="center" vertical="center"/>
    </xf>
    <xf numFmtId="0" fontId="18" fillId="3" borderId="44" xfId="0" applyFont="1" applyFill="1" applyBorder="1" applyAlignment="1" applyProtection="1">
      <alignment horizontal="center" vertical="center"/>
    </xf>
    <xf numFmtId="0" fontId="17" fillId="0" borderId="49" xfId="0" applyFont="1" applyFill="1" applyBorder="1" applyAlignment="1" applyProtection="1">
      <alignment horizontal="center"/>
    </xf>
    <xf numFmtId="1" fontId="17" fillId="0" borderId="49" xfId="0" applyNumberFormat="1" applyFont="1" applyFill="1" applyBorder="1" applyAlignment="1" applyProtection="1">
      <alignment horizontal="center"/>
    </xf>
    <xf numFmtId="0" fontId="17" fillId="0" borderId="0" xfId="0" applyFont="1" applyFill="1" applyBorder="1" applyAlignment="1" applyProtection="1">
      <alignment horizontal="center" vertical="center"/>
    </xf>
    <xf numFmtId="0" fontId="18" fillId="0" borderId="0" xfId="0" applyFont="1" applyFill="1" applyBorder="1" applyAlignment="1" applyProtection="1">
      <alignment horizontal="center" vertical="center"/>
    </xf>
    <xf numFmtId="0" fontId="15" fillId="0" borderId="54" xfId="0" applyFont="1" applyFill="1" applyBorder="1" applyProtection="1"/>
    <xf numFmtId="164" fontId="15" fillId="3" borderId="47" xfId="0" applyNumberFormat="1" applyFont="1" applyFill="1" applyBorder="1" applyAlignment="1" applyProtection="1">
      <alignment horizontal="center"/>
    </xf>
    <xf numFmtId="0" fontId="15" fillId="0" borderId="0" xfId="0" applyFont="1" applyBorder="1" applyAlignment="1" applyProtection="1">
      <alignment horizontal="center" vertical="center"/>
    </xf>
    <xf numFmtId="0" fontId="0" fillId="0" borderId="0" xfId="0" applyBorder="1" applyAlignment="1" applyProtection="1">
      <alignment horizontal="center" vertical="center"/>
    </xf>
    <xf numFmtId="0" fontId="15" fillId="0" borderId="0" xfId="0" applyFont="1" applyBorder="1" applyProtection="1"/>
    <xf numFmtId="1" fontId="19" fillId="0" borderId="37" xfId="0" applyNumberFormat="1" applyFont="1" applyBorder="1" applyAlignment="1" applyProtection="1">
      <alignment horizontal="center" vertical="center"/>
    </xf>
    <xf numFmtId="0" fontId="19" fillId="0" borderId="42" xfId="0" applyFont="1" applyBorder="1" applyProtection="1"/>
    <xf numFmtId="0" fontId="19" fillId="0" borderId="43" xfId="0" applyFont="1" applyBorder="1" applyProtection="1"/>
    <xf numFmtId="1" fontId="19" fillId="0" borderId="0" xfId="0" applyNumberFormat="1" applyFont="1" applyBorder="1" applyAlignment="1" applyProtection="1">
      <alignment horizontal="center" vertical="center"/>
    </xf>
    <xf numFmtId="0" fontId="15" fillId="0" borderId="0" xfId="0" applyFont="1" applyBorder="1" applyAlignment="1" applyProtection="1"/>
    <xf numFmtId="0" fontId="15" fillId="0" borderId="0" xfId="0" applyFont="1" applyBorder="1" applyAlignment="1" applyProtection="1">
      <alignment vertical="center"/>
    </xf>
    <xf numFmtId="1" fontId="21" fillId="2" borderId="47" xfId="0" applyNumberFormat="1" applyFont="1" applyFill="1" applyBorder="1" applyAlignment="1" applyProtection="1">
      <alignment horizontal="center"/>
      <protection locked="0"/>
    </xf>
    <xf numFmtId="1" fontId="19" fillId="0" borderId="62" xfId="0" applyNumberFormat="1" applyFont="1" applyBorder="1" applyAlignment="1" applyProtection="1">
      <alignment horizontal="center" vertical="center"/>
    </xf>
    <xf numFmtId="1" fontId="19" fillId="0" borderId="58" xfId="0" applyNumberFormat="1" applyFont="1" applyBorder="1" applyAlignment="1" applyProtection="1">
      <alignment horizontal="center" vertical="center"/>
    </xf>
    <xf numFmtId="0" fontId="16" fillId="0" borderId="0" xfId="0" applyFont="1" applyFill="1" applyBorder="1" applyAlignment="1" applyProtection="1">
      <alignment horizontal="center"/>
    </xf>
    <xf numFmtId="0" fontId="17" fillId="0" borderId="0" xfId="0" applyFont="1" applyFill="1" applyBorder="1" applyAlignment="1" applyProtection="1">
      <alignment horizontal="center"/>
    </xf>
    <xf numFmtId="0" fontId="16" fillId="0" borderId="49" xfId="0" applyFont="1" applyFill="1" applyBorder="1" applyAlignment="1" applyProtection="1">
      <alignment horizontal="center"/>
    </xf>
    <xf numFmtId="0" fontId="16" fillId="0" borderId="0" xfId="0" applyFont="1" applyFill="1" applyBorder="1" applyAlignment="1" applyProtection="1">
      <alignment horizontal="center" vertical="center"/>
    </xf>
    <xf numFmtId="0" fontId="16" fillId="4" borderId="82" xfId="0" applyFont="1" applyFill="1" applyBorder="1" applyAlignment="1" applyProtection="1">
      <alignment horizontal="center"/>
    </xf>
    <xf numFmtId="0" fontId="19" fillId="0" borderId="71" xfId="0" applyFont="1" applyBorder="1" applyAlignment="1" applyProtection="1">
      <alignment horizontal="left"/>
    </xf>
    <xf numFmtId="0" fontId="19" fillId="0" borderId="72" xfId="0" applyFont="1" applyBorder="1" applyAlignment="1" applyProtection="1">
      <alignment horizontal="left"/>
    </xf>
    <xf numFmtId="0" fontId="15" fillId="0" borderId="0" xfId="0" applyFont="1" applyBorder="1" applyAlignment="1">
      <alignment vertical="center" wrapText="1"/>
    </xf>
    <xf numFmtId="0" fontId="26" fillId="0" borderId="0" xfId="0" applyFont="1" applyBorder="1" applyAlignment="1" applyProtection="1">
      <alignment horizontal="left" vertical="center"/>
    </xf>
    <xf numFmtId="0" fontId="29" fillId="0" borderId="0" xfId="0" applyFont="1" applyBorder="1" applyAlignment="1" applyProtection="1">
      <alignment horizontal="center" vertical="top"/>
    </xf>
    <xf numFmtId="0" fontId="19" fillId="0" borderId="0" xfId="0" applyFont="1" applyBorder="1" applyAlignment="1" applyProtection="1">
      <alignment horizontal="center" vertical="top"/>
    </xf>
    <xf numFmtId="0" fontId="26" fillId="0" borderId="0" xfId="0" applyFont="1" applyBorder="1" applyAlignment="1" applyProtection="1">
      <alignment horizontal="center" vertical="top"/>
    </xf>
    <xf numFmtId="0" fontId="26" fillId="0" borderId="0" xfId="0" applyFont="1" applyBorder="1" applyAlignment="1" applyProtection="1">
      <alignment vertical="top"/>
    </xf>
    <xf numFmtId="0" fontId="19" fillId="0" borderId="40" xfId="0" quotePrefix="1" applyFont="1" applyBorder="1" applyAlignment="1" applyProtection="1">
      <alignment horizontal="center" vertical="center"/>
    </xf>
    <xf numFmtId="0" fontId="16" fillId="4" borderId="45" xfId="0" applyFont="1" applyFill="1" applyBorder="1" applyAlignment="1" applyProtection="1">
      <alignment horizontal="center" vertical="center" wrapText="1"/>
    </xf>
    <xf numFmtId="0" fontId="15" fillId="0" borderId="53" xfId="0" applyFont="1" applyBorder="1" applyAlignment="1" applyProtection="1">
      <alignment horizontal="center" vertical="center"/>
    </xf>
    <xf numFmtId="0" fontId="16" fillId="4" borderId="45" xfId="0" applyFont="1" applyFill="1" applyBorder="1" applyAlignment="1" applyProtection="1">
      <alignment horizontal="center" wrapText="1"/>
    </xf>
    <xf numFmtId="0" fontId="19" fillId="0" borderId="40" xfId="0" applyFont="1" applyBorder="1" applyAlignment="1" applyProtection="1">
      <alignment horizontal="center" vertical="center"/>
    </xf>
    <xf numFmtId="1" fontId="19" fillId="0" borderId="40" xfId="0" applyNumberFormat="1" applyFont="1" applyBorder="1" applyAlignment="1" applyProtection="1">
      <alignment horizontal="center" vertical="center"/>
    </xf>
    <xf numFmtId="0" fontId="16" fillId="4" borderId="46" xfId="0" applyFont="1" applyFill="1" applyBorder="1" applyAlignment="1" applyProtection="1">
      <alignment horizontal="center" vertical="center"/>
    </xf>
    <xf numFmtId="0" fontId="16" fillId="4" borderId="47" xfId="0" applyFont="1" applyFill="1" applyBorder="1" applyAlignment="1" applyProtection="1">
      <alignment horizontal="center" vertical="center"/>
    </xf>
    <xf numFmtId="0" fontId="19" fillId="0" borderId="37" xfId="0" applyFont="1" applyBorder="1" applyAlignment="1" applyProtection="1">
      <alignment horizontal="center" vertical="center"/>
    </xf>
    <xf numFmtId="0" fontId="19" fillId="0" borderId="43" xfId="0" applyFont="1" applyBorder="1" applyAlignment="1" applyProtection="1">
      <alignment horizontal="center" vertical="center"/>
    </xf>
    <xf numFmtId="0" fontId="19" fillId="0" borderId="58" xfId="0" applyFont="1" applyBorder="1" applyAlignment="1" applyProtection="1">
      <alignment horizontal="center" vertical="center"/>
    </xf>
    <xf numFmtId="0" fontId="19" fillId="0" borderId="62" xfId="0" applyFont="1" applyBorder="1" applyAlignment="1" applyProtection="1">
      <alignment horizontal="center" vertical="center"/>
    </xf>
    <xf numFmtId="0" fontId="19" fillId="0" borderId="65" xfId="0" applyFont="1" applyBorder="1" applyAlignment="1" applyProtection="1">
      <alignment horizontal="center" vertical="center"/>
    </xf>
    <xf numFmtId="1" fontId="19" fillId="0" borderId="38" xfId="0" applyNumberFormat="1" applyFont="1" applyBorder="1" applyAlignment="1" applyProtection="1">
      <alignment horizontal="center" vertical="center"/>
    </xf>
    <xf numFmtId="1" fontId="19" fillId="0" borderId="43" xfId="0" applyNumberFormat="1" applyFont="1" applyBorder="1" applyAlignment="1" applyProtection="1">
      <alignment horizontal="center" vertical="center"/>
    </xf>
    <xf numFmtId="1" fontId="19" fillId="0" borderId="44" xfId="0" applyNumberFormat="1" applyFont="1" applyBorder="1" applyAlignment="1" applyProtection="1">
      <alignment horizontal="center" vertical="center"/>
    </xf>
    <xf numFmtId="0" fontId="29" fillId="0" borderId="0" xfId="0" applyFont="1" applyBorder="1" applyAlignment="1" applyProtection="1">
      <alignment vertical="top"/>
    </xf>
    <xf numFmtId="0" fontId="15" fillId="0" borderId="0" xfId="0" applyFont="1" applyBorder="1" applyAlignment="1">
      <alignment horizontal="right" vertical="center"/>
    </xf>
    <xf numFmtId="0" fontId="5" fillId="0" borderId="0" xfId="0" applyFont="1" applyAlignment="1">
      <alignment horizontal="left"/>
    </xf>
    <xf numFmtId="0" fontId="33" fillId="0" borderId="0" xfId="0" applyFont="1" applyAlignment="1">
      <alignment horizontal="left"/>
    </xf>
    <xf numFmtId="0" fontId="27" fillId="0" borderId="0" xfId="0" applyFont="1" applyBorder="1" applyAlignment="1">
      <alignment vertical="center" wrapText="1"/>
    </xf>
    <xf numFmtId="0" fontId="32" fillId="0" borderId="0" xfId="0" applyFont="1"/>
    <xf numFmtId="1" fontId="32" fillId="0" borderId="0" xfId="0" applyNumberFormat="1" applyFont="1"/>
    <xf numFmtId="0" fontId="32" fillId="0" borderId="0" xfId="0" applyFont="1" applyBorder="1"/>
    <xf numFmtId="0" fontId="12" fillId="0" borderId="29" xfId="1" applyFont="1" applyBorder="1" applyAlignment="1" applyProtection="1">
      <alignment horizontal="center" vertical="center" wrapText="1"/>
    </xf>
    <xf numFmtId="0" fontId="12" fillId="0" borderId="30" xfId="1" applyFont="1" applyBorder="1" applyAlignment="1" applyProtection="1">
      <alignment horizontal="center" vertical="center" wrapText="1"/>
    </xf>
    <xf numFmtId="0" fontId="12" fillId="0" borderId="31" xfId="1" applyFont="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7"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xf>
    <xf numFmtId="0" fontId="4" fillId="0" borderId="1" xfId="0" applyFont="1" applyFill="1" applyBorder="1" applyAlignment="1" applyProtection="1">
      <alignment horizontal="left" vertical="center"/>
    </xf>
    <xf numFmtId="0" fontId="1" fillId="0" borderId="1" xfId="0" applyFont="1" applyFill="1" applyBorder="1" applyAlignment="1" applyProtection="1">
      <alignment horizontal="center" vertical="center"/>
    </xf>
    <xf numFmtId="0" fontId="4" fillId="0" borderId="12" xfId="0" applyFont="1" applyFill="1" applyBorder="1" applyAlignment="1" applyProtection="1">
      <alignment horizontal="center" vertical="center" wrapText="1"/>
    </xf>
    <xf numFmtId="0" fontId="4" fillId="0" borderId="12" xfId="0" applyFont="1" applyFill="1" applyBorder="1" applyAlignment="1" applyProtection="1">
      <alignment horizontal="left" vertical="center"/>
    </xf>
    <xf numFmtId="0" fontId="4" fillId="0" borderId="12" xfId="0" applyFont="1" applyFill="1" applyBorder="1" applyAlignment="1" applyProtection="1">
      <alignment horizontal="left" vertical="center" wrapText="1"/>
    </xf>
    <xf numFmtId="0" fontId="1" fillId="0" borderId="8" xfId="0" applyFont="1" applyFill="1" applyBorder="1" applyProtection="1">
      <protection locked="0"/>
    </xf>
    <xf numFmtId="0" fontId="1" fillId="0" borderId="10" xfId="0" applyFont="1" applyFill="1" applyBorder="1" applyProtection="1">
      <protection locked="0"/>
    </xf>
    <xf numFmtId="0" fontId="1" fillId="0" borderId="13" xfId="0" applyFont="1" applyFill="1" applyBorder="1" applyProtection="1">
      <protection locked="0"/>
    </xf>
    <xf numFmtId="0" fontId="0" fillId="0" borderId="0" xfId="0" applyProtection="1"/>
    <xf numFmtId="0" fontId="10" fillId="0" borderId="3" xfId="0" applyFont="1" applyBorder="1" applyAlignment="1" applyProtection="1">
      <alignment horizontal="center" vertical="center"/>
    </xf>
    <xf numFmtId="0" fontId="11" fillId="0" borderId="0" xfId="0" applyFont="1" applyProtection="1"/>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protection locked="0"/>
    </xf>
    <xf numFmtId="0" fontId="0" fillId="0" borderId="9" xfId="0" applyBorder="1" applyAlignment="1" applyProtection="1">
      <alignment horizontal="center"/>
    </xf>
    <xf numFmtId="0" fontId="10" fillId="0" borderId="3" xfId="0" applyFont="1" applyBorder="1" applyAlignment="1" applyProtection="1">
      <alignment horizontal="center" vertical="center" wrapText="1"/>
    </xf>
    <xf numFmtId="0" fontId="10" fillId="0" borderId="21" xfId="0" applyFont="1" applyBorder="1" applyAlignment="1" applyProtection="1">
      <alignment horizontal="center" vertical="center"/>
    </xf>
    <xf numFmtId="0" fontId="19" fillId="0" borderId="40" xfId="0" applyFont="1" applyBorder="1" applyAlignment="1" applyProtection="1">
      <alignment horizontal="center" vertical="center"/>
    </xf>
    <xf numFmtId="0" fontId="19" fillId="0" borderId="43" xfId="0" applyFont="1" applyBorder="1" applyAlignment="1" applyProtection="1">
      <alignment horizontal="center" vertical="center"/>
    </xf>
    <xf numFmtId="0" fontId="16" fillId="4" borderId="46" xfId="0" applyFont="1" applyFill="1" applyBorder="1" applyAlignment="1" applyProtection="1">
      <alignment horizontal="center" vertical="center"/>
    </xf>
    <xf numFmtId="0" fontId="16" fillId="4" borderId="47" xfId="0" applyFont="1" applyFill="1" applyBorder="1" applyAlignment="1" applyProtection="1">
      <alignment horizontal="center" vertical="center"/>
    </xf>
    <xf numFmtId="0" fontId="19" fillId="0" borderId="37" xfId="0" applyFont="1" applyBorder="1" applyAlignment="1" applyProtection="1">
      <alignment horizontal="center" vertical="center"/>
    </xf>
    <xf numFmtId="1" fontId="19" fillId="0" borderId="43" xfId="0" applyNumberFormat="1" applyFont="1" applyBorder="1" applyAlignment="1" applyProtection="1">
      <alignment horizontal="center" vertical="center"/>
    </xf>
    <xf numFmtId="1" fontId="19" fillId="0" borderId="44" xfId="0" applyNumberFormat="1" applyFont="1" applyBorder="1" applyAlignment="1" applyProtection="1">
      <alignment horizontal="center" vertical="center"/>
    </xf>
    <xf numFmtId="1" fontId="19" fillId="0" borderId="38" xfId="0" applyNumberFormat="1" applyFont="1" applyBorder="1" applyAlignment="1" applyProtection="1">
      <alignment horizontal="center" vertical="center"/>
    </xf>
    <xf numFmtId="0" fontId="19" fillId="0" borderId="40" xfId="0" applyFont="1" applyBorder="1" applyAlignment="1" applyProtection="1">
      <alignment horizontal="center" vertical="center"/>
    </xf>
    <xf numFmtId="0" fontId="19" fillId="0" borderId="60" xfId="0" applyFont="1" applyBorder="1" applyAlignment="1" applyProtection="1">
      <alignment horizontal="left"/>
    </xf>
    <xf numFmtId="0" fontId="19" fillId="0" borderId="61" xfId="0" applyFont="1" applyBorder="1" applyAlignment="1" applyProtection="1">
      <alignment horizontal="left"/>
    </xf>
    <xf numFmtId="0" fontId="34" fillId="0" borderId="0" xfId="0" applyFont="1"/>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protection locked="0"/>
    </xf>
    <xf numFmtId="0" fontId="0" fillId="0" borderId="27" xfId="0" applyBorder="1" applyAlignment="1" applyProtection="1">
      <alignment horizontal="center"/>
    </xf>
    <xf numFmtId="0" fontId="9" fillId="0" borderId="2" xfId="0" applyFont="1" applyFill="1" applyBorder="1" applyAlignment="1" applyProtection="1">
      <alignment horizontal="left" vertical="center" wrapText="1"/>
    </xf>
    <xf numFmtId="0" fontId="32" fillId="7" borderId="0" xfId="0" applyFont="1" applyFill="1"/>
    <xf numFmtId="1" fontId="32" fillId="7" borderId="0" xfId="0" applyNumberFormat="1" applyFont="1" applyFill="1"/>
    <xf numFmtId="0" fontId="34" fillId="7" borderId="0" xfId="0" applyFont="1" applyFill="1"/>
    <xf numFmtId="0" fontId="32" fillId="0" borderId="0" xfId="0" applyFont="1" applyFill="1"/>
    <xf numFmtId="0" fontId="0" fillId="0" borderId="0" xfId="0" applyFill="1"/>
    <xf numFmtId="1" fontId="32" fillId="0" borderId="0" xfId="0" applyNumberFormat="1" applyFont="1" applyFill="1"/>
    <xf numFmtId="0" fontId="36" fillId="0" borderId="0" xfId="0" applyFont="1"/>
    <xf numFmtId="0" fontId="15" fillId="0" borderId="82" xfId="0" applyFont="1" applyFill="1" applyBorder="1" applyAlignment="1">
      <alignment horizontal="center" wrapText="1"/>
    </xf>
    <xf numFmtId="0" fontId="15" fillId="0" borderId="48" xfId="0" applyFont="1" applyFill="1" applyBorder="1" applyAlignment="1">
      <alignment horizontal="center" wrapText="1"/>
    </xf>
    <xf numFmtId="0" fontId="15" fillId="0" borderId="83" xfId="0" applyFont="1" applyFill="1" applyBorder="1" applyAlignment="1">
      <alignment horizontal="center" wrapText="1"/>
    </xf>
    <xf numFmtId="0" fontId="5" fillId="0" borderId="0" xfId="0" applyFont="1" applyAlignment="1">
      <alignment horizontal="left" wrapText="1"/>
    </xf>
    <xf numFmtId="0" fontId="5" fillId="0" borderId="0" xfId="0" applyFont="1" applyAlignment="1">
      <alignment horizontal="left" vertical="top" wrapText="1"/>
    </xf>
    <xf numFmtId="0" fontId="27" fillId="0" borderId="0" xfId="0" applyFont="1" applyBorder="1" applyAlignment="1">
      <alignment horizontal="left" vertical="center" wrapText="1"/>
    </xf>
    <xf numFmtId="0" fontId="5" fillId="0" borderId="36" xfId="0" applyFont="1" applyFill="1" applyBorder="1" applyAlignment="1">
      <alignment horizontal="center"/>
    </xf>
    <xf numFmtId="0" fontId="5" fillId="0" borderId="37" xfId="0" applyFont="1" applyFill="1" applyBorder="1" applyAlignment="1">
      <alignment horizontal="center"/>
    </xf>
    <xf numFmtId="0" fontId="5" fillId="0" borderId="38" xfId="0" applyFont="1" applyFill="1" applyBorder="1" applyAlignment="1">
      <alignment horizontal="center"/>
    </xf>
    <xf numFmtId="0" fontId="5" fillId="0" borderId="39" xfId="0" applyFont="1" applyFill="1" applyBorder="1" applyAlignment="1">
      <alignment horizontal="center"/>
    </xf>
    <xf numFmtId="0" fontId="5" fillId="0" borderId="40" xfId="0" applyFont="1" applyFill="1" applyBorder="1" applyAlignment="1">
      <alignment horizontal="center"/>
    </xf>
    <xf numFmtId="0" fontId="5" fillId="0" borderId="41" xfId="0" applyFont="1" applyFill="1" applyBorder="1" applyAlignment="1">
      <alignment horizontal="center"/>
    </xf>
    <xf numFmtId="0" fontId="24" fillId="0" borderId="39" xfId="0" applyFont="1" applyBorder="1" applyAlignment="1">
      <alignment horizontal="center" wrapText="1"/>
    </xf>
    <xf numFmtId="0" fontId="24" fillId="0" borderId="40" xfId="0" applyFont="1" applyBorder="1" applyAlignment="1">
      <alignment horizontal="center" wrapText="1"/>
    </xf>
    <xf numFmtId="0" fontId="24" fillId="0" borderId="41" xfId="0" applyFont="1" applyBorder="1" applyAlignment="1">
      <alignment horizontal="center" wrapText="1"/>
    </xf>
    <xf numFmtId="0" fontId="23" fillId="0" borderId="40" xfId="0" applyFont="1" applyBorder="1" applyAlignment="1">
      <alignment horizontal="center" vertical="center" textRotation="90" wrapText="1"/>
    </xf>
    <xf numFmtId="0" fontId="23" fillId="0" borderId="39" xfId="0" applyFont="1" applyBorder="1" applyAlignment="1">
      <alignment horizontal="center" vertical="center" textRotation="90" wrapText="1"/>
    </xf>
    <xf numFmtId="0" fontId="23" fillId="0" borderId="41" xfId="0" applyFont="1" applyBorder="1" applyAlignment="1">
      <alignment horizontal="center" vertical="center" textRotation="90" wrapText="1"/>
    </xf>
    <xf numFmtId="0" fontId="13" fillId="0" borderId="9" xfId="0" applyFont="1" applyFill="1" applyBorder="1" applyAlignment="1" applyProtection="1">
      <alignment horizontal="center"/>
    </xf>
    <xf numFmtId="0" fontId="13" fillId="0" borderId="11" xfId="0" applyFont="1" applyFill="1" applyBorder="1" applyAlignment="1" applyProtection="1">
      <alignment horizontal="center"/>
    </xf>
    <xf numFmtId="0" fontId="12" fillId="0" borderId="6" xfId="1" applyFont="1" applyBorder="1" applyAlignment="1" applyProtection="1">
      <alignment horizontal="center" vertical="center" wrapText="1"/>
    </xf>
    <xf numFmtId="0" fontId="12" fillId="0" borderId="9" xfId="1" applyFont="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5" fillId="0" borderId="88"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90" xfId="0" applyFont="1" applyFill="1" applyBorder="1" applyAlignment="1">
      <alignment horizontal="center" vertical="center"/>
    </xf>
    <xf numFmtId="0" fontId="5" fillId="0" borderId="91" xfId="0" applyFont="1" applyFill="1" applyBorder="1" applyAlignment="1">
      <alignment horizontal="center" vertical="center"/>
    </xf>
    <xf numFmtId="0" fontId="5" fillId="0" borderId="92" xfId="0" applyFont="1" applyFill="1" applyBorder="1" applyAlignment="1">
      <alignment horizontal="center" vertical="center"/>
    </xf>
    <xf numFmtId="0" fontId="5" fillId="0" borderId="93" xfId="0" applyFont="1" applyFill="1" applyBorder="1" applyAlignment="1">
      <alignment horizontal="center" vertical="center"/>
    </xf>
    <xf numFmtId="0" fontId="7" fillId="0" borderId="9"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9" xfId="1" applyFont="1" applyBorder="1" applyAlignment="1" applyProtection="1">
      <alignment horizontal="center" wrapText="1"/>
    </xf>
    <xf numFmtId="0" fontId="7" fillId="0" borderId="1" xfId="1" applyFont="1" applyBorder="1" applyAlignment="1" applyProtection="1">
      <alignment horizontal="center" wrapText="1"/>
    </xf>
    <xf numFmtId="0" fontId="7" fillId="0" borderId="9" xfId="1" applyFont="1" applyBorder="1" applyAlignment="1" applyProtection="1">
      <alignment horizontal="left" vertical="center" wrapText="1"/>
      <protection locked="0"/>
    </xf>
    <xf numFmtId="0" fontId="7" fillId="0" borderId="1" xfId="1" applyFont="1" applyBorder="1" applyAlignment="1" applyProtection="1">
      <alignment horizontal="left" vertical="center" wrapText="1"/>
      <protection locked="0"/>
    </xf>
    <xf numFmtId="0" fontId="7" fillId="0" borderId="27" xfId="1" applyFont="1" applyBorder="1" applyAlignment="1" applyProtection="1">
      <alignment horizontal="center" wrapText="1"/>
    </xf>
    <xf numFmtId="0" fontId="7" fillId="0" borderId="2" xfId="1" applyFont="1" applyBorder="1" applyAlignment="1" applyProtection="1">
      <alignment horizontal="center" wrapText="1"/>
    </xf>
    <xf numFmtId="0" fontId="7" fillId="0" borderId="28" xfId="1" applyFont="1" applyBorder="1" applyAlignment="1" applyProtection="1">
      <alignment horizontal="center" wrapText="1"/>
    </xf>
    <xf numFmtId="0" fontId="8" fillId="0" borderId="1" xfId="1" applyFont="1" applyBorder="1" applyAlignment="1" applyProtection="1">
      <alignment horizontal="center"/>
    </xf>
    <xf numFmtId="0" fontId="8" fillId="0" borderId="10" xfId="1" applyFont="1" applyBorder="1" applyAlignment="1" applyProtection="1">
      <alignment horizontal="center"/>
    </xf>
    <xf numFmtId="0" fontId="7" fillId="0" borderId="10" xfId="1" applyFont="1" applyBorder="1" applyAlignment="1" applyProtection="1">
      <alignment horizontal="left" vertical="top" wrapText="1"/>
      <protection locked="0"/>
    </xf>
    <xf numFmtId="0" fontId="7" fillId="0" borderId="10" xfId="1" applyFont="1" applyBorder="1" applyAlignment="1" applyProtection="1">
      <alignment horizontal="left" vertical="center" wrapText="1"/>
      <protection locked="0"/>
    </xf>
    <xf numFmtId="0" fontId="27" fillId="0" borderId="89" xfId="0" applyFont="1" applyBorder="1" applyAlignment="1" applyProtection="1">
      <alignment horizontal="left" vertical="top" wrapText="1"/>
    </xf>
    <xf numFmtId="0" fontId="27" fillId="0" borderId="0" xfId="0" applyFont="1" applyBorder="1" applyAlignment="1" applyProtection="1">
      <alignment horizontal="left" vertical="top" wrapText="1"/>
    </xf>
    <xf numFmtId="0" fontId="6" fillId="0" borderId="14" xfId="1" applyFont="1" applyBorder="1" applyAlignment="1" applyProtection="1">
      <alignment horizontal="center" vertical="center" wrapText="1"/>
    </xf>
    <xf numFmtId="0" fontId="6" fillId="0" borderId="15" xfId="1" applyFont="1" applyBorder="1" applyAlignment="1" applyProtection="1">
      <alignment horizontal="center" vertical="center" wrapText="1"/>
    </xf>
    <xf numFmtId="0" fontId="6" fillId="0" borderId="17" xfId="1" applyFont="1" applyBorder="1" applyAlignment="1" applyProtection="1">
      <alignment horizontal="center" vertical="center" wrapText="1"/>
    </xf>
    <xf numFmtId="0" fontId="6" fillId="0" borderId="5" xfId="1" applyFont="1" applyBorder="1" applyAlignment="1" applyProtection="1">
      <alignment horizontal="center" vertical="center" wrapText="1"/>
    </xf>
    <xf numFmtId="0" fontId="10" fillId="0" borderId="17" xfId="1" applyFont="1" applyBorder="1" applyAlignment="1" applyProtection="1">
      <alignment horizontal="left" vertical="top" wrapText="1"/>
      <protection locked="0"/>
    </xf>
    <xf numFmtId="0" fontId="10" fillId="0" borderId="5" xfId="1" applyFont="1" applyBorder="1" applyAlignment="1" applyProtection="1">
      <alignment horizontal="left" vertical="top" wrapText="1"/>
      <protection locked="0"/>
    </xf>
    <xf numFmtId="0" fontId="10" fillId="0" borderId="18" xfId="1" applyFont="1" applyBorder="1" applyAlignment="1" applyProtection="1">
      <alignment horizontal="left" vertical="top" wrapText="1"/>
      <protection locked="0"/>
    </xf>
    <xf numFmtId="0" fontId="10" fillId="0" borderId="20" xfId="1" applyFont="1" applyBorder="1" applyAlignment="1" applyProtection="1">
      <alignment horizontal="left" vertical="top" wrapText="1"/>
      <protection locked="0"/>
    </xf>
    <xf numFmtId="0" fontId="10" fillId="0" borderId="25" xfId="1" applyFont="1" applyBorder="1" applyAlignment="1" applyProtection="1">
      <alignment horizontal="center" vertical="center" wrapText="1"/>
    </xf>
    <xf numFmtId="0" fontId="10" fillId="0" borderId="26" xfId="1" applyFont="1" applyBorder="1" applyAlignment="1" applyProtection="1">
      <alignment horizontal="center" vertical="center" wrapText="1"/>
    </xf>
    <xf numFmtId="0" fontId="8" fillId="0" borderId="26" xfId="1"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23" xfId="0" applyFont="1" applyBorder="1" applyAlignment="1" applyProtection="1">
      <alignment horizontal="center" vertical="center"/>
    </xf>
    <xf numFmtId="0" fontId="27" fillId="0" borderId="0" xfId="0" applyFont="1" applyBorder="1" applyAlignment="1">
      <alignment horizontal="left" vertical="center"/>
    </xf>
    <xf numFmtId="0" fontId="14" fillId="0" borderId="22" xfId="0" applyFont="1" applyBorder="1" applyAlignment="1" applyProtection="1">
      <alignment horizontal="center" vertical="center" wrapText="1"/>
    </xf>
    <xf numFmtId="0" fontId="14" fillId="0" borderId="23" xfId="0" applyFont="1" applyBorder="1" applyAlignment="1" applyProtection="1">
      <alignment horizontal="center" vertical="center" wrapText="1"/>
    </xf>
    <xf numFmtId="0" fontId="14" fillId="0" borderId="24" xfId="0" applyFont="1" applyBorder="1" applyAlignment="1" applyProtection="1">
      <alignment horizontal="center" vertical="center" wrapText="1"/>
    </xf>
    <xf numFmtId="0" fontId="6" fillId="0" borderId="16"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14" fillId="0" borderId="17" xfId="1" applyFont="1" applyBorder="1" applyAlignment="1" applyProtection="1">
      <alignment horizontal="left" vertical="top" wrapText="1"/>
      <protection locked="0"/>
    </xf>
    <xf numFmtId="0" fontId="14" fillId="0" borderId="5" xfId="1" applyFont="1" applyBorder="1" applyAlignment="1" applyProtection="1">
      <alignment horizontal="left" vertical="top" wrapText="1"/>
      <protection locked="0"/>
    </xf>
    <xf numFmtId="0" fontId="14" fillId="0" borderId="32" xfId="0" applyFont="1" applyBorder="1" applyAlignment="1" applyProtection="1">
      <alignment horizontal="left" vertical="center" wrapText="1"/>
      <protection locked="0"/>
    </xf>
    <xf numFmtId="0" fontId="14" fillId="0" borderId="19" xfId="0" applyFont="1" applyBorder="1" applyAlignment="1" applyProtection="1">
      <alignment horizontal="left" vertical="center" wrapText="1"/>
      <protection locked="0"/>
    </xf>
    <xf numFmtId="0" fontId="14" fillId="0" borderId="33" xfId="0" applyFont="1" applyBorder="1" applyAlignment="1" applyProtection="1">
      <alignment horizontal="left" vertical="center" wrapText="1"/>
      <protection locked="0"/>
    </xf>
    <xf numFmtId="0" fontId="14" fillId="0" borderId="18" xfId="1" applyFont="1" applyBorder="1" applyAlignment="1" applyProtection="1">
      <alignment horizontal="left" vertical="top" wrapText="1"/>
      <protection locked="0"/>
    </xf>
    <xf numFmtId="0" fontId="14" fillId="0" borderId="19" xfId="1" applyFont="1" applyBorder="1" applyAlignment="1" applyProtection="1">
      <alignment horizontal="left" vertical="top" wrapText="1"/>
      <protection locked="0"/>
    </xf>
    <xf numFmtId="0" fontId="14" fillId="0" borderId="20" xfId="1" applyFont="1" applyBorder="1" applyAlignment="1" applyProtection="1">
      <alignment horizontal="left" vertical="top" wrapText="1"/>
      <protection locked="0"/>
    </xf>
    <xf numFmtId="0" fontId="14" fillId="0" borderId="4" xfId="1" applyFont="1" applyBorder="1" applyAlignment="1" applyProtection="1">
      <alignment horizontal="left" vertical="top" wrapText="1"/>
      <protection locked="0"/>
    </xf>
    <xf numFmtId="0" fontId="19" fillId="0" borderId="39" xfId="0" applyFont="1" applyBorder="1" applyAlignment="1" applyProtection="1">
      <alignment horizontal="left"/>
    </xf>
    <xf numFmtId="0" fontId="19" fillId="0" borderId="40" xfId="0" applyFont="1" applyBorder="1" applyAlignment="1" applyProtection="1">
      <alignment horizontal="left"/>
    </xf>
    <xf numFmtId="0" fontId="19" fillId="0" borderId="40" xfId="0" applyFont="1" applyBorder="1" applyAlignment="1" applyProtection="1">
      <alignment horizontal="center" vertical="center"/>
    </xf>
    <xf numFmtId="0" fontId="19" fillId="0" borderId="41" xfId="0" applyFont="1" applyBorder="1" applyAlignment="1" applyProtection="1">
      <alignment horizontal="center" vertical="center"/>
    </xf>
    <xf numFmtId="0" fontId="20" fillId="0" borderId="45" xfId="0" applyFont="1" applyFill="1" applyBorder="1" applyAlignment="1" applyProtection="1">
      <alignment horizontal="center"/>
    </xf>
    <xf numFmtId="0" fontId="20" fillId="0" borderId="46" xfId="0" applyFont="1" applyFill="1" applyBorder="1" applyAlignment="1" applyProtection="1">
      <alignment horizontal="center"/>
    </xf>
    <xf numFmtId="0" fontId="20" fillId="0" borderId="47" xfId="0" applyFont="1" applyFill="1" applyBorder="1" applyAlignment="1" applyProtection="1">
      <alignment horizontal="center"/>
    </xf>
    <xf numFmtId="0" fontId="16" fillId="4" borderId="45" xfId="0" applyFont="1" applyFill="1" applyBorder="1" applyAlignment="1" applyProtection="1">
      <alignment horizontal="left"/>
    </xf>
    <xf numFmtId="0" fontId="16" fillId="4" borderId="46" xfId="0" applyFont="1" applyFill="1" applyBorder="1" applyAlignment="1" applyProtection="1">
      <alignment horizontal="left"/>
    </xf>
    <xf numFmtId="0" fontId="19" fillId="0" borderId="36" xfId="0" applyFont="1" applyBorder="1" applyAlignment="1" applyProtection="1">
      <alignment horizontal="left"/>
    </xf>
    <xf numFmtId="0" fontId="19" fillId="0" borderId="37" xfId="0" applyFont="1" applyBorder="1" applyAlignment="1" applyProtection="1">
      <alignment horizontal="left"/>
    </xf>
    <xf numFmtId="1" fontId="19" fillId="0" borderId="40" xfId="0" applyNumberFormat="1" applyFont="1" applyBorder="1" applyAlignment="1" applyProtection="1">
      <alignment horizontal="center" vertical="center"/>
    </xf>
    <xf numFmtId="0" fontId="19" fillId="0" borderId="59" xfId="0" applyFont="1" applyBorder="1" applyAlignment="1" applyProtection="1">
      <alignment horizontal="center" vertical="center"/>
    </xf>
    <xf numFmtId="0" fontId="19" fillId="0" borderId="64" xfId="0" applyFont="1" applyBorder="1" applyAlignment="1" applyProtection="1">
      <alignment horizontal="center" vertical="center"/>
    </xf>
    <xf numFmtId="0" fontId="16" fillId="4" borderId="46" xfId="0" applyFont="1" applyFill="1" applyBorder="1" applyAlignment="1" applyProtection="1">
      <alignment horizontal="center" vertical="center"/>
    </xf>
    <xf numFmtId="0" fontId="16" fillId="4" borderId="47" xfId="0" applyFont="1" applyFill="1" applyBorder="1" applyAlignment="1" applyProtection="1">
      <alignment horizontal="center" vertical="center"/>
    </xf>
    <xf numFmtId="0" fontId="19" fillId="0" borderId="37" xfId="0" applyFont="1" applyBorder="1" applyAlignment="1" applyProtection="1">
      <alignment horizontal="center" vertical="center"/>
    </xf>
    <xf numFmtId="0" fontId="19" fillId="0" borderId="38" xfId="0" applyFont="1" applyBorder="1" applyAlignment="1" applyProtection="1">
      <alignment horizontal="center" vertical="center"/>
    </xf>
    <xf numFmtId="1" fontId="19" fillId="0" borderId="41" xfId="0" applyNumberFormat="1" applyFont="1" applyBorder="1" applyAlignment="1" applyProtection="1">
      <alignment horizontal="center" vertical="center"/>
    </xf>
    <xf numFmtId="0" fontId="19" fillId="0" borderId="60" xfId="0" applyFont="1" applyBorder="1" applyAlignment="1" applyProtection="1">
      <alignment horizontal="left"/>
    </xf>
    <xf numFmtId="0" fontId="19" fillId="0" borderId="61" xfId="0" applyFont="1" applyBorder="1" applyAlignment="1" applyProtection="1">
      <alignment horizontal="left"/>
    </xf>
    <xf numFmtId="1" fontId="19" fillId="0" borderId="66" xfId="0" applyNumberFormat="1" applyFont="1" applyBorder="1" applyAlignment="1" applyProtection="1">
      <alignment horizontal="center" vertical="center"/>
    </xf>
    <xf numFmtId="1" fontId="19" fillId="0" borderId="67" xfId="0" applyNumberFormat="1" applyFont="1" applyBorder="1" applyAlignment="1" applyProtection="1">
      <alignment horizontal="center" vertical="center"/>
    </xf>
    <xf numFmtId="0" fontId="19" fillId="0" borderId="42" xfId="0" applyFont="1" applyBorder="1" applyAlignment="1" applyProtection="1">
      <alignment horizontal="left"/>
    </xf>
    <xf numFmtId="0" fontId="19" fillId="0" borderId="43" xfId="0" applyFont="1" applyBorder="1" applyAlignment="1" applyProtection="1">
      <alignment horizontal="left"/>
    </xf>
    <xf numFmtId="0" fontId="19" fillId="0" borderId="43" xfId="0" applyFont="1" applyBorder="1" applyAlignment="1" applyProtection="1">
      <alignment horizontal="center" vertical="center"/>
    </xf>
    <xf numFmtId="0" fontId="19" fillId="0" borderId="44" xfId="0" applyFont="1" applyBorder="1" applyAlignment="1" applyProtection="1">
      <alignment horizontal="center" vertical="center"/>
    </xf>
    <xf numFmtId="0" fontId="19" fillId="0" borderId="66" xfId="0" applyFont="1" applyBorder="1" applyAlignment="1" applyProtection="1">
      <alignment horizontal="center" vertical="center"/>
    </xf>
    <xf numFmtId="0" fontId="19" fillId="0" borderId="67" xfId="0" applyFont="1" applyBorder="1" applyAlignment="1" applyProtection="1">
      <alignment horizontal="center" vertical="center"/>
    </xf>
    <xf numFmtId="0" fontId="19" fillId="0" borderId="58" xfId="0" applyFont="1" applyBorder="1" applyAlignment="1" applyProtection="1">
      <alignment horizontal="center" vertical="center"/>
    </xf>
    <xf numFmtId="0" fontId="19" fillId="0" borderId="63" xfId="0" applyFont="1" applyBorder="1" applyAlignment="1" applyProtection="1">
      <alignment horizontal="center" vertical="center"/>
    </xf>
    <xf numFmtId="0" fontId="19" fillId="0" borderId="62" xfId="0" applyFont="1" applyBorder="1" applyAlignment="1" applyProtection="1">
      <alignment horizontal="center" vertical="center"/>
    </xf>
    <xf numFmtId="0" fontId="19" fillId="0" borderId="59" xfId="0" applyFont="1" applyFill="1" applyBorder="1" applyAlignment="1" applyProtection="1">
      <alignment horizontal="center" vertical="center"/>
    </xf>
    <xf numFmtId="0" fontId="19" fillId="0" borderId="65" xfId="0" applyFont="1" applyFill="1" applyBorder="1" applyAlignment="1" applyProtection="1">
      <alignment horizontal="center" vertical="center"/>
    </xf>
    <xf numFmtId="0" fontId="19" fillId="0" borderId="64" xfId="0" applyFont="1" applyFill="1" applyBorder="1" applyAlignment="1" applyProtection="1">
      <alignment horizontal="center" vertical="center"/>
    </xf>
    <xf numFmtId="0" fontId="19" fillId="0" borderId="70" xfId="0" applyFont="1" applyBorder="1" applyAlignment="1" applyProtection="1">
      <alignment horizontal="left"/>
    </xf>
    <xf numFmtId="0" fontId="19" fillId="0" borderId="62" xfId="0" applyFont="1" applyBorder="1" applyAlignment="1" applyProtection="1">
      <alignment horizontal="left"/>
    </xf>
    <xf numFmtId="1" fontId="19" fillId="0" borderId="69" xfId="0" applyNumberFormat="1" applyFont="1" applyFill="1" applyBorder="1" applyAlignment="1" applyProtection="1">
      <alignment horizontal="center" vertical="center"/>
    </xf>
    <xf numFmtId="1" fontId="19" fillId="0" borderId="64" xfId="0" applyNumberFormat="1" applyFont="1" applyFill="1" applyBorder="1" applyAlignment="1" applyProtection="1">
      <alignment horizontal="center" vertical="center"/>
    </xf>
    <xf numFmtId="0" fontId="19" fillId="0" borderId="68" xfId="0" applyFont="1" applyBorder="1" applyAlignment="1" applyProtection="1">
      <alignment horizontal="center" vertical="center"/>
    </xf>
    <xf numFmtId="0" fontId="19" fillId="0" borderId="65" xfId="0" applyFont="1" applyBorder="1" applyAlignment="1" applyProtection="1">
      <alignment horizontal="center" vertical="center"/>
    </xf>
    <xf numFmtId="0" fontId="15" fillId="0" borderId="54" xfId="0" applyFont="1" applyBorder="1" applyAlignment="1">
      <alignment horizontal="left" vertical="center" wrapText="1"/>
    </xf>
    <xf numFmtId="1" fontId="19" fillId="0" borderId="69" xfId="0" applyNumberFormat="1" applyFont="1" applyBorder="1" applyAlignment="1" applyProtection="1">
      <alignment horizontal="center" vertical="center"/>
    </xf>
    <xf numFmtId="1" fontId="19" fillId="0" borderId="64" xfId="0" applyNumberFormat="1" applyFont="1" applyBorder="1" applyAlignment="1" applyProtection="1">
      <alignment horizontal="center" vertical="center"/>
    </xf>
    <xf numFmtId="0" fontId="19" fillId="0" borderId="40" xfId="0" applyFont="1" applyBorder="1" applyAlignment="1" applyProtection="1">
      <alignment horizontal="left" vertical="top"/>
    </xf>
    <xf numFmtId="1" fontId="19" fillId="0" borderId="61" xfId="0" applyNumberFormat="1" applyFont="1" applyBorder="1" applyAlignment="1" applyProtection="1">
      <alignment horizontal="center" vertical="center"/>
    </xf>
    <xf numFmtId="0" fontId="19" fillId="0" borderId="35" xfId="0" applyFont="1" applyBorder="1" applyAlignment="1" applyProtection="1">
      <alignment horizontal="center" vertical="center"/>
    </xf>
    <xf numFmtId="0" fontId="19" fillId="0" borderId="34" xfId="0" applyFont="1" applyBorder="1" applyAlignment="1" applyProtection="1">
      <alignment horizontal="center" vertical="center"/>
    </xf>
    <xf numFmtId="1" fontId="19" fillId="0" borderId="43" xfId="0" applyNumberFormat="1" applyFont="1" applyBorder="1" applyAlignment="1" applyProtection="1">
      <alignment horizontal="center" vertical="center"/>
    </xf>
    <xf numFmtId="1" fontId="19" fillId="0" borderId="44" xfId="0" applyNumberFormat="1" applyFont="1" applyBorder="1" applyAlignment="1" applyProtection="1">
      <alignment horizontal="center" vertical="center"/>
    </xf>
    <xf numFmtId="0" fontId="19" fillId="0" borderId="79" xfId="0" applyFont="1" applyBorder="1" applyAlignment="1" applyProtection="1">
      <alignment horizontal="center" vertical="center"/>
    </xf>
    <xf numFmtId="0" fontId="19" fillId="0" borderId="80" xfId="0" applyFont="1" applyBorder="1" applyAlignment="1" applyProtection="1">
      <alignment horizontal="center" vertical="center"/>
    </xf>
    <xf numFmtId="0" fontId="19" fillId="0" borderId="81" xfId="0" applyFont="1" applyBorder="1" applyAlignment="1" applyProtection="1">
      <alignment horizontal="center" vertical="center"/>
    </xf>
    <xf numFmtId="0" fontId="19" fillId="0" borderId="75" xfId="0" applyFont="1" applyBorder="1" applyAlignment="1" applyProtection="1">
      <alignment horizontal="left"/>
    </xf>
    <xf numFmtId="0" fontId="19" fillId="0" borderId="76" xfId="0" applyFont="1" applyBorder="1" applyAlignment="1" applyProtection="1">
      <alignment horizontal="left"/>
    </xf>
    <xf numFmtId="1" fontId="19" fillId="0" borderId="77" xfId="0" applyNumberFormat="1" applyFont="1" applyBorder="1" applyAlignment="1" applyProtection="1">
      <alignment horizontal="center" vertical="center"/>
    </xf>
    <xf numFmtId="1" fontId="19" fillId="0" borderId="78" xfId="0" applyNumberFormat="1" applyFont="1" applyBorder="1" applyAlignment="1" applyProtection="1">
      <alignment horizontal="center" vertical="center"/>
    </xf>
    <xf numFmtId="1" fontId="19" fillId="0" borderId="73" xfId="0" applyNumberFormat="1" applyFont="1" applyBorder="1" applyAlignment="1" applyProtection="1">
      <alignment horizontal="center" vertical="center"/>
    </xf>
    <xf numFmtId="1" fontId="19" fillId="0" borderId="74" xfId="0" applyNumberFormat="1" applyFont="1" applyBorder="1" applyAlignment="1" applyProtection="1">
      <alignment horizontal="center" vertical="center"/>
    </xf>
    <xf numFmtId="0" fontId="19" fillId="0" borderId="85" xfId="0" applyFont="1" applyBorder="1" applyAlignment="1" applyProtection="1">
      <alignment horizontal="center" vertical="center"/>
    </xf>
    <xf numFmtId="0" fontId="19" fillId="0" borderId="86" xfId="0" applyFont="1" applyBorder="1" applyAlignment="1" applyProtection="1">
      <alignment horizontal="center" vertical="center"/>
    </xf>
    <xf numFmtId="0" fontId="19" fillId="0" borderId="87" xfId="0" applyFont="1" applyBorder="1" applyAlignment="1" applyProtection="1">
      <alignment horizontal="center" vertical="center"/>
    </xf>
    <xf numFmtId="1" fontId="19" fillId="0" borderId="38" xfId="0" applyNumberFormat="1" applyFont="1" applyBorder="1" applyAlignment="1" applyProtection="1">
      <alignment horizontal="center" vertical="center"/>
    </xf>
    <xf numFmtId="0" fontId="15" fillId="0" borderId="0" xfId="0" applyFont="1" applyBorder="1" applyAlignment="1">
      <alignment horizontal="left" vertical="center" wrapText="1"/>
    </xf>
    <xf numFmtId="0" fontId="36" fillId="7" borderId="0" xfId="0" applyFont="1" applyFill="1"/>
  </cellXfs>
  <cellStyles count="4">
    <cellStyle name="Changeable" xfId="2"/>
    <cellStyle name="Heading" xfId="3"/>
    <cellStyle name="Hyperlink" xfId="1" builtinId="8"/>
    <cellStyle name="Normal" xfId="0" builtinId="0"/>
  </cellStyles>
  <dxfs count="0"/>
  <tableStyles count="0" defaultTableStyle="TableStyleMedium9" defaultPivotStyle="PivotStyleLight16"/>
  <colors>
    <mruColors>
      <color rgb="FF00CC00"/>
      <color rgb="FF00A88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8.png"/><Relationship Id="rId7" Type="http://schemas.openxmlformats.org/officeDocument/2006/relationships/image" Target="../media/image3.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2.png"/><Relationship Id="rId5" Type="http://schemas.openxmlformats.org/officeDocument/2006/relationships/image" Target="../media/image1.png"/><Relationship Id="rId10" Type="http://schemas.openxmlformats.org/officeDocument/2006/relationships/image" Target="../media/image11.jpeg"/><Relationship Id="rId4" Type="http://schemas.openxmlformats.org/officeDocument/2006/relationships/image" Target="../media/image9.pn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20.png"/><Relationship Id="rId18" Type="http://schemas.openxmlformats.org/officeDocument/2006/relationships/image" Target="../media/image24.png"/><Relationship Id="rId3" Type="http://schemas.openxmlformats.org/officeDocument/2006/relationships/image" Target="../media/image2.png"/><Relationship Id="rId21" Type="http://schemas.openxmlformats.org/officeDocument/2006/relationships/image" Target="../media/image27.png"/><Relationship Id="rId7" Type="http://schemas.openxmlformats.org/officeDocument/2006/relationships/image" Target="../media/image14.png"/><Relationship Id="rId12" Type="http://schemas.openxmlformats.org/officeDocument/2006/relationships/image" Target="../media/image19.png"/><Relationship Id="rId17" Type="http://schemas.openxmlformats.org/officeDocument/2006/relationships/image" Target="../media/image11.jpeg"/><Relationship Id="rId2" Type="http://schemas.openxmlformats.org/officeDocument/2006/relationships/image" Target="../media/image1.png"/><Relationship Id="rId16" Type="http://schemas.openxmlformats.org/officeDocument/2006/relationships/image" Target="../media/image23.emf"/><Relationship Id="rId20" Type="http://schemas.openxmlformats.org/officeDocument/2006/relationships/image" Target="../media/image26.png"/><Relationship Id="rId1" Type="http://schemas.openxmlformats.org/officeDocument/2006/relationships/image" Target="../media/image12.png"/><Relationship Id="rId6" Type="http://schemas.openxmlformats.org/officeDocument/2006/relationships/image" Target="../media/image13.png"/><Relationship Id="rId11" Type="http://schemas.openxmlformats.org/officeDocument/2006/relationships/image" Target="../media/image18.jpeg"/><Relationship Id="rId5" Type="http://schemas.openxmlformats.org/officeDocument/2006/relationships/image" Target="../media/image4.png"/><Relationship Id="rId15" Type="http://schemas.openxmlformats.org/officeDocument/2006/relationships/image" Target="../media/image22.png"/><Relationship Id="rId10" Type="http://schemas.openxmlformats.org/officeDocument/2006/relationships/image" Target="../media/image17.png"/><Relationship Id="rId19" Type="http://schemas.openxmlformats.org/officeDocument/2006/relationships/image" Target="../media/image25.png"/><Relationship Id="rId4" Type="http://schemas.openxmlformats.org/officeDocument/2006/relationships/image" Target="../media/image3.png"/><Relationship Id="rId9" Type="http://schemas.openxmlformats.org/officeDocument/2006/relationships/image" Target="../media/image16.emf"/><Relationship Id="rId14" Type="http://schemas.openxmlformats.org/officeDocument/2006/relationships/image" Target="../media/image21.png"/><Relationship Id="rId22" Type="http://schemas.openxmlformats.org/officeDocument/2006/relationships/image" Target="../media/image28.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9.png"/><Relationship Id="rId5" Type="http://schemas.openxmlformats.org/officeDocument/2006/relationships/image" Target="../media/image18.jpe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0.png"/><Relationship Id="rId5" Type="http://schemas.openxmlformats.org/officeDocument/2006/relationships/image" Target="../media/image18.jpe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1.png"/><Relationship Id="rId5" Type="http://schemas.openxmlformats.org/officeDocument/2006/relationships/image" Target="../media/image18.jpe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2.png"/><Relationship Id="rId5" Type="http://schemas.openxmlformats.org/officeDocument/2006/relationships/image" Target="../media/image18.jpe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3.png"/><Relationship Id="rId5" Type="http://schemas.openxmlformats.org/officeDocument/2006/relationships/image" Target="../media/image18.jpe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4.png"/><Relationship Id="rId5" Type="http://schemas.openxmlformats.org/officeDocument/2006/relationships/image" Target="../media/image18.jpe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5.png"/><Relationship Id="rId5" Type="http://schemas.openxmlformats.org/officeDocument/2006/relationships/image" Target="../media/image18.jpe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6.png"/><Relationship Id="rId5" Type="http://schemas.openxmlformats.org/officeDocument/2006/relationships/image" Target="../media/image18.jpe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7.png"/><Relationship Id="rId5" Type="http://schemas.openxmlformats.org/officeDocument/2006/relationships/image" Target="../media/image18.jpe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8.png"/><Relationship Id="rId5" Type="http://schemas.openxmlformats.org/officeDocument/2006/relationships/image" Target="../media/image18.jpe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8.png"/><Relationship Id="rId5" Type="http://schemas.openxmlformats.org/officeDocument/2006/relationships/image" Target="../media/image18.jpeg"/><Relationship Id="rId4"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1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8.png"/><Relationship Id="rId5" Type="http://schemas.openxmlformats.org/officeDocument/2006/relationships/image" Target="../media/image18.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9</xdr:col>
      <xdr:colOff>352318</xdr:colOff>
      <xdr:row>2</xdr:row>
      <xdr:rowOff>1288</xdr:rowOff>
    </xdr:to>
    <xdr:pic>
      <xdr:nvPicPr>
        <xdr:cNvPr id="7" name="Picture 6"/>
        <xdr:cNvPicPr>
          <a:picLocks noChangeAspect="1" noChangeArrowheads="1"/>
        </xdr:cNvPicPr>
      </xdr:nvPicPr>
      <xdr:blipFill>
        <a:blip xmlns:r="http://schemas.openxmlformats.org/officeDocument/2006/relationships" r:embed="rId1" cstate="print"/>
        <a:stretch>
          <a:fillRect/>
        </a:stretch>
      </xdr:blipFill>
      <xdr:spPr bwMode="auto">
        <a:xfrm>
          <a:off x="8582025" y="4733925"/>
          <a:ext cx="352318" cy="1288"/>
        </a:xfrm>
        <a:prstGeom prst="rect">
          <a:avLst/>
        </a:prstGeom>
        <a:noFill/>
        <a:ln>
          <a:noFill/>
        </a:ln>
      </xdr:spPr>
    </xdr:pic>
    <xdr:clientData/>
  </xdr:twoCellAnchor>
  <xdr:twoCellAnchor editAs="oneCell">
    <xdr:from>
      <xdr:col>9</xdr:col>
      <xdr:colOff>0</xdr:colOff>
      <xdr:row>2</xdr:row>
      <xdr:rowOff>0</xdr:rowOff>
    </xdr:from>
    <xdr:to>
      <xdr:col>9</xdr:col>
      <xdr:colOff>495145</xdr:colOff>
      <xdr:row>2</xdr:row>
      <xdr:rowOff>58</xdr:rowOff>
    </xdr:to>
    <xdr:pic>
      <xdr:nvPicPr>
        <xdr:cNvPr id="8" name="Picture 7"/>
        <xdr:cNvPicPr>
          <a:picLocks noChangeAspect="1" noChangeArrowheads="1"/>
        </xdr:cNvPicPr>
      </xdr:nvPicPr>
      <xdr:blipFill>
        <a:blip xmlns:r="http://schemas.openxmlformats.org/officeDocument/2006/relationships" r:embed="rId2" cstate="print"/>
        <a:stretch>
          <a:fillRect/>
        </a:stretch>
      </xdr:blipFill>
      <xdr:spPr bwMode="auto">
        <a:xfrm>
          <a:off x="8582025" y="4958129"/>
          <a:ext cx="495145" cy="58"/>
        </a:xfrm>
        <a:prstGeom prst="rect">
          <a:avLst/>
        </a:prstGeom>
        <a:noFill/>
        <a:ln>
          <a:noFill/>
        </a:ln>
      </xdr:spPr>
    </xdr:pic>
    <xdr:clientData/>
  </xdr:twoCellAnchor>
  <xdr:twoCellAnchor editAs="oneCell">
    <xdr:from>
      <xdr:col>9</xdr:col>
      <xdr:colOff>0</xdr:colOff>
      <xdr:row>2</xdr:row>
      <xdr:rowOff>0</xdr:rowOff>
    </xdr:from>
    <xdr:to>
      <xdr:col>9</xdr:col>
      <xdr:colOff>552450</xdr:colOff>
      <xdr:row>2</xdr:row>
      <xdr:rowOff>1851</xdr:rowOff>
    </xdr:to>
    <xdr:pic>
      <xdr:nvPicPr>
        <xdr:cNvPr id="9" name="Picture 8"/>
        <xdr:cNvPicPr>
          <a:picLocks noChangeAspect="1" noChangeArrowheads="1"/>
        </xdr:cNvPicPr>
      </xdr:nvPicPr>
      <xdr:blipFill>
        <a:blip xmlns:r="http://schemas.openxmlformats.org/officeDocument/2006/relationships" r:embed="rId3" cstate="print"/>
        <a:stretch>
          <a:fillRect/>
        </a:stretch>
      </xdr:blipFill>
      <xdr:spPr bwMode="auto">
        <a:xfrm>
          <a:off x="8582025" y="5286940"/>
          <a:ext cx="552450" cy="1851"/>
        </a:xfrm>
        <a:prstGeom prst="rect">
          <a:avLst/>
        </a:prstGeom>
        <a:noFill/>
        <a:ln>
          <a:noFill/>
        </a:ln>
      </xdr:spPr>
    </xdr:pic>
    <xdr:clientData/>
  </xdr:twoCellAnchor>
  <xdr:twoCellAnchor editAs="oneCell">
    <xdr:from>
      <xdr:col>9</xdr:col>
      <xdr:colOff>0</xdr:colOff>
      <xdr:row>2</xdr:row>
      <xdr:rowOff>0</xdr:rowOff>
    </xdr:from>
    <xdr:to>
      <xdr:col>9</xdr:col>
      <xdr:colOff>552297</xdr:colOff>
      <xdr:row>2</xdr:row>
      <xdr:rowOff>1287</xdr:rowOff>
    </xdr:to>
    <xdr:pic>
      <xdr:nvPicPr>
        <xdr:cNvPr id="10" name="Picture 9"/>
        <xdr:cNvPicPr>
          <a:picLocks noChangeAspect="1" noChangeArrowheads="1"/>
        </xdr:cNvPicPr>
      </xdr:nvPicPr>
      <xdr:blipFill>
        <a:blip xmlns:r="http://schemas.openxmlformats.org/officeDocument/2006/relationships" r:embed="rId4" cstate="print"/>
        <a:stretch>
          <a:fillRect/>
        </a:stretch>
      </xdr:blipFill>
      <xdr:spPr bwMode="auto">
        <a:xfrm>
          <a:off x="8582025" y="5553075"/>
          <a:ext cx="552297" cy="1287"/>
        </a:xfrm>
        <a:prstGeom prst="rect">
          <a:avLst/>
        </a:prstGeom>
        <a:noFill/>
        <a:ln>
          <a:noFill/>
        </a:ln>
      </xdr:spPr>
    </xdr:pic>
    <xdr:clientData/>
  </xdr:twoCellAnchor>
  <xdr:twoCellAnchor editAs="oneCell">
    <xdr:from>
      <xdr:col>1</xdr:col>
      <xdr:colOff>742950</xdr:colOff>
      <xdr:row>0</xdr:row>
      <xdr:rowOff>28575</xdr:rowOff>
    </xdr:from>
    <xdr:to>
      <xdr:col>8</xdr:col>
      <xdr:colOff>832179</xdr:colOff>
      <xdr:row>1</xdr:row>
      <xdr:rowOff>1668595</xdr:rowOff>
    </xdr:to>
    <xdr:pic>
      <xdr:nvPicPr>
        <xdr:cNvPr id="11" name="Picture 10" descr="Quiklok_Logo_Colour_Lrg.jpg"/>
        <xdr:cNvPicPr>
          <a:picLocks noChangeAspect="1"/>
        </xdr:cNvPicPr>
      </xdr:nvPicPr>
      <xdr:blipFill>
        <a:blip xmlns:r="http://schemas.openxmlformats.org/officeDocument/2006/relationships" r:embed="rId5" cstate="print"/>
        <a:stretch>
          <a:fillRect/>
        </a:stretch>
      </xdr:blipFill>
      <xdr:spPr>
        <a:xfrm>
          <a:off x="1123950" y="28575"/>
          <a:ext cx="7223454" cy="21162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489018</xdr:colOff>
      <xdr:row>18</xdr:row>
      <xdr:rowOff>191322</xdr:rowOff>
    </xdr:from>
    <xdr:to>
      <xdr:col>0</xdr:col>
      <xdr:colOff>878088</xdr:colOff>
      <xdr:row>24</xdr:row>
      <xdr:rowOff>154228</xdr:rowOff>
    </xdr:to>
    <xdr:pic>
      <xdr:nvPicPr>
        <xdr:cNvPr id="4" name="Picture 31" descr="q:\pbs\catqry\images\EPD0262.PNG"/>
        <xdr:cNvPicPr>
          <a:picLocks noChangeAspect="1" noChangeArrowheads="1"/>
        </xdr:cNvPicPr>
      </xdr:nvPicPr>
      <xdr:blipFill>
        <a:blip xmlns:r="http://schemas.openxmlformats.org/officeDocument/2006/relationships" r:embed="rId1" cstate="print"/>
        <a:stretch>
          <a:fillRect/>
        </a:stretch>
      </xdr:blipFill>
      <xdr:spPr bwMode="auto">
        <a:xfrm rot="18845674">
          <a:off x="-98000" y="7398215"/>
          <a:ext cx="1563106" cy="389070"/>
        </a:xfrm>
        <a:prstGeom prst="rect">
          <a:avLst/>
        </a:prstGeom>
        <a:noFill/>
        <a:ln>
          <a:noFill/>
        </a:ln>
      </xdr:spPr>
    </xdr:pic>
    <xdr:clientData/>
  </xdr:twoCellAnchor>
  <xdr:twoCellAnchor editAs="oneCell">
    <xdr:from>
      <xdr:col>0</xdr:col>
      <xdr:colOff>142875</xdr:colOff>
      <xdr:row>13</xdr:row>
      <xdr:rowOff>180975</xdr:rowOff>
    </xdr:from>
    <xdr:to>
      <xdr:col>0</xdr:col>
      <xdr:colOff>1247775</xdr:colOff>
      <xdr:row>17</xdr:row>
      <xdr:rowOff>209551</xdr:rowOff>
    </xdr:to>
    <xdr:pic>
      <xdr:nvPicPr>
        <xdr:cNvPr id="1025" name="Picture 1"/>
        <xdr:cNvPicPr>
          <a:picLocks noChangeAspect="1" noChangeArrowheads="1"/>
        </xdr:cNvPicPr>
      </xdr:nvPicPr>
      <xdr:blipFill>
        <a:blip xmlns:r="http://schemas.openxmlformats.org/officeDocument/2006/relationships" r:embed="rId2" cstate="print"/>
        <a:srcRect/>
        <a:stretch>
          <a:fillRect/>
        </a:stretch>
      </xdr:blipFill>
      <xdr:spPr bwMode="auto">
        <a:xfrm>
          <a:off x="142875" y="5467350"/>
          <a:ext cx="1104900" cy="1095376"/>
        </a:xfrm>
        <a:prstGeom prst="rect">
          <a:avLst/>
        </a:prstGeom>
        <a:noFill/>
        <a:ln w="1">
          <a:noFill/>
          <a:miter lim="800000"/>
          <a:headEnd/>
          <a:tailEnd type="none" w="med" len="med"/>
        </a:ln>
        <a:effectLst/>
      </xdr:spPr>
    </xdr:pic>
    <xdr:clientData/>
  </xdr:twoCellAnchor>
  <xdr:twoCellAnchor editAs="oneCell">
    <xdr:from>
      <xdr:col>0</xdr:col>
      <xdr:colOff>438150</xdr:colOff>
      <xdr:row>38</xdr:row>
      <xdr:rowOff>66677</xdr:rowOff>
    </xdr:from>
    <xdr:to>
      <xdr:col>0</xdr:col>
      <xdr:colOff>779178</xdr:colOff>
      <xdr:row>41</xdr:row>
      <xdr:rowOff>30480</xdr:rowOff>
    </xdr:to>
    <xdr:pic>
      <xdr:nvPicPr>
        <xdr:cNvPr id="6" name="Picture 1"/>
        <xdr:cNvPicPr>
          <a:picLocks noChangeAspect="1" noChangeArrowheads="1"/>
        </xdr:cNvPicPr>
      </xdr:nvPicPr>
      <xdr:blipFill>
        <a:blip xmlns:r="http://schemas.openxmlformats.org/officeDocument/2006/relationships" r:embed="rId3" cstate="print"/>
        <a:srcRect/>
        <a:stretch>
          <a:fillRect/>
        </a:stretch>
      </xdr:blipFill>
      <xdr:spPr bwMode="auto">
        <a:xfrm rot="5400000">
          <a:off x="226712" y="12231990"/>
          <a:ext cx="763903" cy="341028"/>
        </a:xfrm>
        <a:prstGeom prst="rect">
          <a:avLst/>
        </a:prstGeom>
        <a:noFill/>
        <a:ln w="1">
          <a:noFill/>
          <a:miter lim="800000"/>
          <a:headEnd/>
          <a:tailEnd type="none" w="med" len="med"/>
        </a:ln>
        <a:effectLst/>
      </xdr:spPr>
    </xdr:pic>
    <xdr:clientData/>
  </xdr:twoCellAnchor>
  <xdr:twoCellAnchor editAs="oneCell">
    <xdr:from>
      <xdr:col>0</xdr:col>
      <xdr:colOff>449662</xdr:colOff>
      <xdr:row>31</xdr:row>
      <xdr:rowOff>171450</xdr:rowOff>
    </xdr:from>
    <xdr:to>
      <xdr:col>0</xdr:col>
      <xdr:colOff>787005</xdr:colOff>
      <xdr:row>35</xdr:row>
      <xdr:rowOff>238125</xdr:rowOff>
    </xdr:to>
    <xdr:pic>
      <xdr:nvPicPr>
        <xdr:cNvPr id="7" name="Picture 2"/>
        <xdr:cNvPicPr>
          <a:picLocks noChangeAspect="1" noChangeArrowheads="1"/>
        </xdr:cNvPicPr>
      </xdr:nvPicPr>
      <xdr:blipFill>
        <a:blip xmlns:r="http://schemas.openxmlformats.org/officeDocument/2006/relationships" r:embed="rId3" cstate="print"/>
        <a:srcRect/>
        <a:stretch>
          <a:fillRect/>
        </a:stretch>
      </xdr:blipFill>
      <xdr:spPr bwMode="auto">
        <a:xfrm rot="16200000">
          <a:off x="51596" y="10656491"/>
          <a:ext cx="1133475" cy="337343"/>
        </a:xfrm>
        <a:prstGeom prst="rect">
          <a:avLst/>
        </a:prstGeom>
        <a:noFill/>
        <a:ln w="1">
          <a:noFill/>
          <a:miter lim="800000"/>
          <a:headEnd/>
          <a:tailEnd type="none" w="med" len="med"/>
        </a:ln>
        <a:effectLst/>
      </xdr:spPr>
    </xdr:pic>
    <xdr:clientData/>
  </xdr:twoCellAnchor>
  <xdr:twoCellAnchor editAs="oneCell">
    <xdr:from>
      <xdr:col>0</xdr:col>
      <xdr:colOff>219075</xdr:colOff>
      <xdr:row>8</xdr:row>
      <xdr:rowOff>85725</xdr:rowOff>
    </xdr:from>
    <xdr:to>
      <xdr:col>0</xdr:col>
      <xdr:colOff>1181100</xdr:colOff>
      <xdr:row>11</xdr:row>
      <xdr:rowOff>209550</xdr:rowOff>
    </xdr:to>
    <xdr:pic>
      <xdr:nvPicPr>
        <xdr:cNvPr id="1026" name="Picture 2"/>
        <xdr:cNvPicPr>
          <a:picLocks noChangeAspect="1" noChangeArrowheads="1"/>
        </xdr:cNvPicPr>
      </xdr:nvPicPr>
      <xdr:blipFill>
        <a:blip xmlns:r="http://schemas.openxmlformats.org/officeDocument/2006/relationships" r:embed="rId4" cstate="print"/>
        <a:srcRect/>
        <a:stretch>
          <a:fillRect/>
        </a:stretch>
      </xdr:blipFill>
      <xdr:spPr bwMode="auto">
        <a:xfrm>
          <a:off x="219075" y="4038600"/>
          <a:ext cx="962025" cy="923925"/>
        </a:xfrm>
        <a:prstGeom prst="rect">
          <a:avLst/>
        </a:prstGeom>
        <a:noFill/>
        <a:ln w="1">
          <a:noFill/>
          <a:miter lim="800000"/>
          <a:headEnd/>
          <a:tailEnd type="none" w="med" len="med"/>
        </a:ln>
        <a:effectLst/>
      </xdr:spPr>
    </xdr:pic>
    <xdr:clientData/>
  </xdr:twoCellAnchor>
  <xdr:twoCellAnchor editAs="oneCell">
    <xdr:from>
      <xdr:col>9</xdr:col>
      <xdr:colOff>0</xdr:colOff>
      <xdr:row>10</xdr:row>
      <xdr:rowOff>247650</xdr:rowOff>
    </xdr:from>
    <xdr:to>
      <xdr:col>9</xdr:col>
      <xdr:colOff>352318</xdr:colOff>
      <xdr:row>10</xdr:row>
      <xdr:rowOff>248938</xdr:rowOff>
    </xdr:to>
    <xdr:pic>
      <xdr:nvPicPr>
        <xdr:cNvPr id="27" name="Picture 26"/>
        <xdr:cNvPicPr>
          <a:picLocks noChangeAspect="1" noChangeArrowheads="1"/>
        </xdr:cNvPicPr>
      </xdr:nvPicPr>
      <xdr:blipFill>
        <a:blip xmlns:r="http://schemas.openxmlformats.org/officeDocument/2006/relationships" r:embed="rId5" cstate="print"/>
        <a:stretch>
          <a:fillRect/>
        </a:stretch>
      </xdr:blipFill>
      <xdr:spPr bwMode="auto">
        <a:xfrm>
          <a:off x="870088" y="10923933"/>
          <a:ext cx="857143" cy="371429"/>
        </a:xfrm>
        <a:prstGeom prst="rect">
          <a:avLst/>
        </a:prstGeom>
        <a:noFill/>
        <a:ln>
          <a:noFill/>
        </a:ln>
      </xdr:spPr>
    </xdr:pic>
    <xdr:clientData/>
  </xdr:twoCellAnchor>
  <xdr:twoCellAnchor editAs="oneCell">
    <xdr:from>
      <xdr:col>9</xdr:col>
      <xdr:colOff>0</xdr:colOff>
      <xdr:row>11</xdr:row>
      <xdr:rowOff>205154</xdr:rowOff>
    </xdr:from>
    <xdr:to>
      <xdr:col>9</xdr:col>
      <xdr:colOff>495145</xdr:colOff>
      <xdr:row>11</xdr:row>
      <xdr:rowOff>205212</xdr:rowOff>
    </xdr:to>
    <xdr:pic>
      <xdr:nvPicPr>
        <xdr:cNvPr id="28" name="Picture 27"/>
        <xdr:cNvPicPr>
          <a:picLocks noChangeAspect="1" noChangeArrowheads="1"/>
        </xdr:cNvPicPr>
      </xdr:nvPicPr>
      <xdr:blipFill>
        <a:blip xmlns:r="http://schemas.openxmlformats.org/officeDocument/2006/relationships" r:embed="rId6" cstate="print"/>
        <a:stretch>
          <a:fillRect/>
        </a:stretch>
      </xdr:blipFill>
      <xdr:spPr bwMode="auto">
        <a:xfrm>
          <a:off x="727213" y="11833937"/>
          <a:ext cx="1238095" cy="466667"/>
        </a:xfrm>
        <a:prstGeom prst="rect">
          <a:avLst/>
        </a:prstGeom>
        <a:noFill/>
        <a:ln>
          <a:noFill/>
        </a:ln>
      </xdr:spPr>
    </xdr:pic>
    <xdr:clientData/>
  </xdr:twoCellAnchor>
  <xdr:twoCellAnchor editAs="oneCell">
    <xdr:from>
      <xdr:col>9</xdr:col>
      <xdr:colOff>0</xdr:colOff>
      <xdr:row>12</xdr:row>
      <xdr:rowOff>295840</xdr:rowOff>
    </xdr:from>
    <xdr:to>
      <xdr:col>9</xdr:col>
      <xdr:colOff>552450</xdr:colOff>
      <xdr:row>13</xdr:row>
      <xdr:rowOff>2416</xdr:rowOff>
    </xdr:to>
    <xdr:pic>
      <xdr:nvPicPr>
        <xdr:cNvPr id="29" name="Picture 28"/>
        <xdr:cNvPicPr>
          <a:picLocks noChangeAspect="1" noChangeArrowheads="1"/>
        </xdr:cNvPicPr>
      </xdr:nvPicPr>
      <xdr:blipFill>
        <a:blip xmlns:r="http://schemas.openxmlformats.org/officeDocument/2006/relationships" r:embed="rId7" cstate="print"/>
        <a:stretch>
          <a:fillRect/>
        </a:stretch>
      </xdr:blipFill>
      <xdr:spPr bwMode="auto">
        <a:xfrm>
          <a:off x="670063" y="12877123"/>
          <a:ext cx="1190625" cy="227992"/>
        </a:xfrm>
        <a:prstGeom prst="rect">
          <a:avLst/>
        </a:prstGeom>
        <a:noFill/>
        <a:ln>
          <a:noFill/>
        </a:ln>
      </xdr:spPr>
    </xdr:pic>
    <xdr:clientData/>
  </xdr:twoCellAnchor>
  <xdr:twoCellAnchor editAs="oneCell">
    <xdr:from>
      <xdr:col>9</xdr:col>
      <xdr:colOff>0</xdr:colOff>
      <xdr:row>14</xdr:row>
      <xdr:rowOff>0</xdr:rowOff>
    </xdr:from>
    <xdr:to>
      <xdr:col>9</xdr:col>
      <xdr:colOff>552297</xdr:colOff>
      <xdr:row>14</xdr:row>
      <xdr:rowOff>1287</xdr:rowOff>
    </xdr:to>
    <xdr:pic>
      <xdr:nvPicPr>
        <xdr:cNvPr id="30" name="Picture 29"/>
        <xdr:cNvPicPr>
          <a:picLocks noChangeAspect="1" noChangeArrowheads="1"/>
        </xdr:cNvPicPr>
      </xdr:nvPicPr>
      <xdr:blipFill>
        <a:blip xmlns:r="http://schemas.openxmlformats.org/officeDocument/2006/relationships" r:embed="rId8" cstate="print"/>
        <a:stretch>
          <a:fillRect/>
        </a:stretch>
      </xdr:blipFill>
      <xdr:spPr bwMode="auto">
        <a:xfrm>
          <a:off x="670063" y="13762383"/>
          <a:ext cx="1228572" cy="361905"/>
        </a:xfrm>
        <a:prstGeom prst="rect">
          <a:avLst/>
        </a:prstGeom>
        <a:noFill/>
        <a:ln>
          <a:noFill/>
        </a:ln>
      </xdr:spPr>
    </xdr:pic>
    <xdr:clientData/>
  </xdr:twoCellAnchor>
  <xdr:twoCellAnchor editAs="oneCell">
    <xdr:from>
      <xdr:col>9</xdr:col>
      <xdr:colOff>0</xdr:colOff>
      <xdr:row>7</xdr:row>
      <xdr:rowOff>228600</xdr:rowOff>
    </xdr:from>
    <xdr:to>
      <xdr:col>9</xdr:col>
      <xdr:colOff>552297</xdr:colOff>
      <xdr:row>7</xdr:row>
      <xdr:rowOff>233663</xdr:rowOff>
    </xdr:to>
    <xdr:pic>
      <xdr:nvPicPr>
        <xdr:cNvPr id="42" name="Picture 41"/>
        <xdr:cNvPicPr>
          <a:picLocks noChangeAspect="1" noChangeArrowheads="1"/>
        </xdr:cNvPicPr>
      </xdr:nvPicPr>
      <xdr:blipFill>
        <a:blip xmlns:r="http://schemas.openxmlformats.org/officeDocument/2006/relationships" r:embed="rId8" cstate="print"/>
        <a:stretch>
          <a:fillRect/>
        </a:stretch>
      </xdr:blipFill>
      <xdr:spPr bwMode="auto">
        <a:xfrm>
          <a:off x="8239125" y="5534025"/>
          <a:ext cx="552297" cy="1287"/>
        </a:xfrm>
        <a:prstGeom prst="rect">
          <a:avLst/>
        </a:prstGeom>
        <a:noFill/>
        <a:ln>
          <a:noFill/>
        </a:ln>
      </xdr:spPr>
    </xdr:pic>
    <xdr:clientData/>
  </xdr:twoCellAnchor>
  <xdr:twoCellAnchor editAs="oneCell">
    <xdr:from>
      <xdr:col>0</xdr:col>
      <xdr:colOff>457200</xdr:colOff>
      <xdr:row>25</xdr:row>
      <xdr:rowOff>28576</xdr:rowOff>
    </xdr:from>
    <xdr:to>
      <xdr:col>0</xdr:col>
      <xdr:colOff>777060</xdr:colOff>
      <xdr:row>30</xdr:row>
      <xdr:rowOff>237088</xdr:rowOff>
    </xdr:to>
    <xdr:pic>
      <xdr:nvPicPr>
        <xdr:cNvPr id="1027" name="Picture 3"/>
        <xdr:cNvPicPr>
          <a:picLocks noChangeAspect="1" noChangeArrowheads="1"/>
        </xdr:cNvPicPr>
      </xdr:nvPicPr>
      <xdr:blipFill>
        <a:blip xmlns:r="http://schemas.openxmlformats.org/officeDocument/2006/relationships" r:embed="rId9" cstate="print"/>
        <a:srcRect/>
        <a:stretch>
          <a:fillRect/>
        </a:stretch>
      </xdr:blipFill>
      <xdr:spPr bwMode="auto">
        <a:xfrm rot="5400000">
          <a:off x="-153876" y="9126427"/>
          <a:ext cx="1542012" cy="319860"/>
        </a:xfrm>
        <a:prstGeom prst="rect">
          <a:avLst/>
        </a:prstGeom>
        <a:noFill/>
        <a:ln w="1">
          <a:noFill/>
          <a:miter lim="800000"/>
          <a:headEnd/>
          <a:tailEnd type="none" w="med" len="med"/>
        </a:ln>
        <a:effectLst/>
      </xdr:spPr>
    </xdr:pic>
    <xdr:clientData/>
  </xdr:twoCellAnchor>
  <xdr:twoCellAnchor editAs="oneCell">
    <xdr:from>
      <xdr:col>1</xdr:col>
      <xdr:colOff>657225</xdr:colOff>
      <xdr:row>0</xdr:row>
      <xdr:rowOff>47625</xdr:rowOff>
    </xdr:from>
    <xdr:to>
      <xdr:col>7</xdr:col>
      <xdr:colOff>809625</xdr:colOff>
      <xdr:row>1</xdr:row>
      <xdr:rowOff>1136878</xdr:rowOff>
    </xdr:to>
    <xdr:pic>
      <xdr:nvPicPr>
        <xdr:cNvPr id="16" name="Picture 15" descr="Quiklok_Logo_Colour_Lrg.jpg"/>
        <xdr:cNvPicPr>
          <a:picLocks noChangeAspect="1"/>
        </xdr:cNvPicPr>
      </xdr:nvPicPr>
      <xdr:blipFill>
        <a:blip xmlns:r="http://schemas.openxmlformats.org/officeDocument/2006/relationships" r:embed="rId10" cstate="print"/>
        <a:stretch>
          <a:fillRect/>
        </a:stretch>
      </xdr:blipFill>
      <xdr:spPr>
        <a:xfrm>
          <a:off x="2114550" y="47625"/>
          <a:ext cx="5343525" cy="1565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462643</xdr:colOff>
      <xdr:row>7</xdr:row>
      <xdr:rowOff>27215</xdr:rowOff>
    </xdr:from>
    <xdr:to>
      <xdr:col>0</xdr:col>
      <xdr:colOff>1013925</xdr:colOff>
      <xdr:row>7</xdr:row>
      <xdr:rowOff>567215</xdr:rowOff>
    </xdr:to>
    <xdr:pic>
      <xdr:nvPicPr>
        <xdr:cNvPr id="2" name="Picture 183" descr="q:\pbs\catqry\images\309327.PNG"/>
        <xdr:cNvPicPr>
          <a:picLocks noChangeAspect="1" noChangeArrowheads="1"/>
        </xdr:cNvPicPr>
      </xdr:nvPicPr>
      <xdr:blipFill>
        <a:blip xmlns:r="http://schemas.openxmlformats.org/officeDocument/2006/relationships" r:embed="rId1" cstate="print"/>
        <a:stretch>
          <a:fillRect/>
        </a:stretch>
      </xdr:blipFill>
      <xdr:spPr bwMode="auto">
        <a:xfrm>
          <a:off x="462643" y="3524251"/>
          <a:ext cx="551282" cy="540000"/>
        </a:xfrm>
        <a:prstGeom prst="rect">
          <a:avLst/>
        </a:prstGeom>
        <a:noFill/>
        <a:ln>
          <a:noFill/>
        </a:ln>
      </xdr:spPr>
    </xdr:pic>
    <xdr:clientData/>
  </xdr:twoCellAnchor>
  <xdr:twoCellAnchor editAs="oneCell">
    <xdr:from>
      <xdr:col>1</xdr:col>
      <xdr:colOff>0</xdr:colOff>
      <xdr:row>8</xdr:row>
      <xdr:rowOff>247650</xdr:rowOff>
    </xdr:from>
    <xdr:to>
      <xdr:col>1</xdr:col>
      <xdr:colOff>352318</xdr:colOff>
      <xdr:row>8</xdr:row>
      <xdr:rowOff>247696</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866775" y="13725525"/>
          <a:ext cx="857143" cy="371429"/>
        </a:xfrm>
        <a:prstGeom prst="rect">
          <a:avLst/>
        </a:prstGeom>
        <a:noFill/>
        <a:ln>
          <a:noFill/>
        </a:ln>
      </xdr:spPr>
    </xdr:pic>
    <xdr:clientData/>
  </xdr:twoCellAnchor>
  <xdr:twoCellAnchor editAs="oneCell">
    <xdr:from>
      <xdr:col>1</xdr:col>
      <xdr:colOff>0</xdr:colOff>
      <xdr:row>9</xdr:row>
      <xdr:rowOff>205154</xdr:rowOff>
    </xdr:from>
    <xdr:to>
      <xdr:col>1</xdr:col>
      <xdr:colOff>495145</xdr:colOff>
      <xdr:row>9</xdr:row>
      <xdr:rowOff>205212</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723900" y="14635529"/>
          <a:ext cx="1238095" cy="466667"/>
        </a:xfrm>
        <a:prstGeom prst="rect">
          <a:avLst/>
        </a:prstGeom>
        <a:noFill/>
        <a:ln>
          <a:noFill/>
        </a:ln>
      </xdr:spPr>
    </xdr:pic>
    <xdr:clientData/>
  </xdr:twoCellAnchor>
  <xdr:twoCellAnchor editAs="oneCell">
    <xdr:from>
      <xdr:col>1</xdr:col>
      <xdr:colOff>0</xdr:colOff>
      <xdr:row>10</xdr:row>
      <xdr:rowOff>295840</xdr:rowOff>
    </xdr:from>
    <xdr:to>
      <xdr:col>1</xdr:col>
      <xdr:colOff>552450</xdr:colOff>
      <xdr:row>10</xdr:row>
      <xdr:rowOff>296448</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666750" y="15678715"/>
          <a:ext cx="1190625" cy="227992"/>
        </a:xfrm>
        <a:prstGeom prst="rect">
          <a:avLst/>
        </a:prstGeom>
        <a:noFill/>
        <a:ln>
          <a:noFill/>
        </a:ln>
      </xdr:spPr>
    </xdr:pic>
    <xdr:clientData/>
  </xdr:twoCellAnchor>
  <xdr:twoCellAnchor editAs="oneCell">
    <xdr:from>
      <xdr:col>1</xdr:col>
      <xdr:colOff>0</xdr:colOff>
      <xdr:row>11</xdr:row>
      <xdr:rowOff>228600</xdr:rowOff>
    </xdr:from>
    <xdr:to>
      <xdr:col>1</xdr:col>
      <xdr:colOff>552297</xdr:colOff>
      <xdr:row>11</xdr:row>
      <xdr:rowOff>228645</xdr:rowOff>
    </xdr:to>
    <xdr:pic>
      <xdr:nvPicPr>
        <xdr:cNvPr id="6" name="Picture 5"/>
        <xdr:cNvPicPr>
          <a:picLocks noChangeAspect="1" noChangeArrowheads="1"/>
        </xdr:cNvPicPr>
      </xdr:nvPicPr>
      <xdr:blipFill>
        <a:blip xmlns:r="http://schemas.openxmlformats.org/officeDocument/2006/relationships" r:embed="rId5" cstate="print"/>
        <a:stretch>
          <a:fillRect/>
        </a:stretch>
      </xdr:blipFill>
      <xdr:spPr bwMode="auto">
        <a:xfrm>
          <a:off x="666750" y="16563975"/>
          <a:ext cx="1228572" cy="361905"/>
        </a:xfrm>
        <a:prstGeom prst="rect">
          <a:avLst/>
        </a:prstGeom>
        <a:noFill/>
        <a:ln>
          <a:noFill/>
        </a:ln>
      </xdr:spPr>
    </xdr:pic>
    <xdr:clientData/>
  </xdr:twoCellAnchor>
  <xdr:twoCellAnchor editAs="oneCell">
    <xdr:from>
      <xdr:col>0</xdr:col>
      <xdr:colOff>156483</xdr:colOff>
      <xdr:row>12</xdr:row>
      <xdr:rowOff>39311</xdr:rowOff>
    </xdr:from>
    <xdr:to>
      <xdr:col>0</xdr:col>
      <xdr:colOff>1160648</xdr:colOff>
      <xdr:row>12</xdr:row>
      <xdr:rowOff>759311</xdr:rowOff>
    </xdr:to>
    <xdr:pic>
      <xdr:nvPicPr>
        <xdr:cNvPr id="7" name="Picture 6"/>
        <xdr:cNvPicPr>
          <a:picLocks noChangeAspect="1" noChangeArrowheads="1"/>
        </xdr:cNvPicPr>
      </xdr:nvPicPr>
      <xdr:blipFill>
        <a:blip xmlns:r="http://schemas.openxmlformats.org/officeDocument/2006/relationships" r:embed="rId6" cstate="print"/>
        <a:stretch>
          <a:fillRect/>
        </a:stretch>
      </xdr:blipFill>
      <xdr:spPr bwMode="auto">
        <a:xfrm>
          <a:off x="156483" y="6053668"/>
          <a:ext cx="1004165" cy="720000"/>
        </a:xfrm>
        <a:prstGeom prst="rect">
          <a:avLst/>
        </a:prstGeom>
        <a:noFill/>
        <a:ln>
          <a:noFill/>
        </a:ln>
      </xdr:spPr>
    </xdr:pic>
    <xdr:clientData/>
  </xdr:twoCellAnchor>
  <xdr:twoCellAnchor editAs="oneCell">
    <xdr:from>
      <xdr:col>0</xdr:col>
      <xdr:colOff>323847</xdr:colOff>
      <xdr:row>15</xdr:row>
      <xdr:rowOff>28574</xdr:rowOff>
    </xdr:from>
    <xdr:to>
      <xdr:col>0</xdr:col>
      <xdr:colOff>1058254</xdr:colOff>
      <xdr:row>15</xdr:row>
      <xdr:rowOff>748574</xdr:rowOff>
    </xdr:to>
    <xdr:pic>
      <xdr:nvPicPr>
        <xdr:cNvPr id="8" name="Picture 7"/>
        <xdr:cNvPicPr>
          <a:picLocks noChangeAspect="1" noChangeArrowheads="1"/>
        </xdr:cNvPicPr>
      </xdr:nvPicPr>
      <xdr:blipFill>
        <a:blip xmlns:r="http://schemas.openxmlformats.org/officeDocument/2006/relationships" r:embed="rId7" cstate="print"/>
        <a:stretch>
          <a:fillRect/>
        </a:stretch>
      </xdr:blipFill>
      <xdr:spPr bwMode="auto">
        <a:xfrm>
          <a:off x="323847" y="8410574"/>
          <a:ext cx="734407" cy="720000"/>
        </a:xfrm>
        <a:prstGeom prst="rect">
          <a:avLst/>
        </a:prstGeom>
        <a:noFill/>
        <a:ln>
          <a:noFill/>
        </a:ln>
      </xdr:spPr>
    </xdr:pic>
    <xdr:clientData/>
  </xdr:twoCellAnchor>
  <xdr:twoCellAnchor editAs="oneCell">
    <xdr:from>
      <xdr:col>0</xdr:col>
      <xdr:colOff>288469</xdr:colOff>
      <xdr:row>14</xdr:row>
      <xdr:rowOff>34017</xdr:rowOff>
    </xdr:from>
    <xdr:to>
      <xdr:col>0</xdr:col>
      <xdr:colOff>1141002</xdr:colOff>
      <xdr:row>14</xdr:row>
      <xdr:rowOff>754017</xdr:rowOff>
    </xdr:to>
    <xdr:pic>
      <xdr:nvPicPr>
        <xdr:cNvPr id="9" name="Picture 8"/>
        <xdr:cNvPicPr>
          <a:picLocks noChangeAspect="1" noChangeArrowheads="1"/>
        </xdr:cNvPicPr>
      </xdr:nvPicPr>
      <xdr:blipFill>
        <a:blip xmlns:r="http://schemas.openxmlformats.org/officeDocument/2006/relationships" r:embed="rId8" cstate="print"/>
        <a:stretch>
          <a:fillRect/>
        </a:stretch>
      </xdr:blipFill>
      <xdr:spPr bwMode="auto">
        <a:xfrm>
          <a:off x="288469" y="7626803"/>
          <a:ext cx="852533" cy="720000"/>
        </a:xfrm>
        <a:prstGeom prst="rect">
          <a:avLst/>
        </a:prstGeom>
        <a:noFill/>
        <a:ln>
          <a:noFill/>
        </a:ln>
      </xdr:spPr>
    </xdr:pic>
    <xdr:clientData/>
  </xdr:twoCellAnchor>
  <xdr:twoCellAnchor editAs="oneCell">
    <xdr:from>
      <xdr:col>0</xdr:col>
      <xdr:colOff>174171</xdr:colOff>
      <xdr:row>16</xdr:row>
      <xdr:rowOff>34018</xdr:rowOff>
    </xdr:from>
    <xdr:to>
      <xdr:col>0</xdr:col>
      <xdr:colOff>1235813</xdr:colOff>
      <xdr:row>16</xdr:row>
      <xdr:rowOff>754018</xdr:rowOff>
    </xdr:to>
    <xdr:pic>
      <xdr:nvPicPr>
        <xdr:cNvPr id="10" name="Picture 9"/>
        <xdr:cNvPicPr>
          <a:picLocks noChangeAspect="1" noChangeArrowheads="1"/>
        </xdr:cNvPicPr>
      </xdr:nvPicPr>
      <xdr:blipFill>
        <a:blip xmlns:r="http://schemas.openxmlformats.org/officeDocument/2006/relationships" r:embed="rId9" cstate="print"/>
        <a:stretch>
          <a:fillRect/>
        </a:stretch>
      </xdr:blipFill>
      <xdr:spPr bwMode="auto">
        <a:xfrm>
          <a:off x="174171" y="9205232"/>
          <a:ext cx="1061642" cy="720000"/>
        </a:xfrm>
        <a:prstGeom prst="rect">
          <a:avLst/>
        </a:prstGeom>
        <a:noFill/>
        <a:ln>
          <a:noFill/>
        </a:ln>
      </xdr:spPr>
    </xdr:pic>
    <xdr:clientData/>
  </xdr:twoCellAnchor>
  <xdr:twoCellAnchor editAs="oneCell">
    <xdr:from>
      <xdr:col>0</xdr:col>
      <xdr:colOff>263982</xdr:colOff>
      <xdr:row>17</xdr:row>
      <xdr:rowOff>35575</xdr:rowOff>
    </xdr:from>
    <xdr:to>
      <xdr:col>0</xdr:col>
      <xdr:colOff>1147083</xdr:colOff>
      <xdr:row>17</xdr:row>
      <xdr:rowOff>755004</xdr:rowOff>
    </xdr:to>
    <xdr:pic>
      <xdr:nvPicPr>
        <xdr:cNvPr id="15" name="Picture 14"/>
        <xdr:cNvPicPr>
          <a:picLocks noChangeAspect="1" noChangeArrowheads="1"/>
        </xdr:cNvPicPr>
      </xdr:nvPicPr>
      <xdr:blipFill>
        <a:blip xmlns:r="http://schemas.openxmlformats.org/officeDocument/2006/relationships" r:embed="rId10" cstate="print"/>
        <a:stretch>
          <a:fillRect/>
        </a:stretch>
      </xdr:blipFill>
      <xdr:spPr bwMode="auto">
        <a:xfrm>
          <a:off x="263982" y="9989200"/>
          <a:ext cx="883101" cy="719429"/>
        </a:xfrm>
        <a:prstGeom prst="rect">
          <a:avLst/>
        </a:prstGeom>
        <a:noFill/>
        <a:ln>
          <a:noFill/>
        </a:ln>
      </xdr:spPr>
    </xdr:pic>
    <xdr:clientData/>
  </xdr:twoCellAnchor>
  <xdr:twoCellAnchor editAs="oneCell">
    <xdr:from>
      <xdr:col>0</xdr:col>
      <xdr:colOff>1190625</xdr:colOff>
      <xdr:row>1</xdr:row>
      <xdr:rowOff>314325</xdr:rowOff>
    </xdr:from>
    <xdr:to>
      <xdr:col>2</xdr:col>
      <xdr:colOff>4412117</xdr:colOff>
      <xdr:row>1</xdr:row>
      <xdr:rowOff>314325</xdr:rowOff>
    </xdr:to>
    <xdr:pic>
      <xdr:nvPicPr>
        <xdr:cNvPr id="21" name="Picture 10" descr="Elegance_logo_colour_30cm.jpg"/>
        <xdr:cNvPicPr>
          <a:picLocks noChangeAspect="1"/>
        </xdr:cNvPicPr>
      </xdr:nvPicPr>
      <xdr:blipFill>
        <a:blip xmlns:r="http://schemas.openxmlformats.org/officeDocument/2006/relationships" r:embed="rId11"/>
        <a:srcRect/>
        <a:stretch>
          <a:fillRect/>
        </a:stretch>
      </xdr:blipFill>
      <xdr:spPr bwMode="auto">
        <a:xfrm>
          <a:off x="619125" y="1047750"/>
          <a:ext cx="4686300" cy="0"/>
        </a:xfrm>
        <a:prstGeom prst="rect">
          <a:avLst/>
        </a:prstGeom>
        <a:noFill/>
        <a:ln w="9525">
          <a:noFill/>
          <a:miter lim="800000"/>
          <a:headEnd/>
          <a:tailEnd/>
        </a:ln>
      </xdr:spPr>
    </xdr:pic>
    <xdr:clientData/>
  </xdr:twoCellAnchor>
  <xdr:twoCellAnchor editAs="oneCell">
    <xdr:from>
      <xdr:col>1</xdr:col>
      <xdr:colOff>276225</xdr:colOff>
      <xdr:row>0</xdr:row>
      <xdr:rowOff>0</xdr:rowOff>
    </xdr:from>
    <xdr:to>
      <xdr:col>2</xdr:col>
      <xdr:colOff>2247900</xdr:colOff>
      <xdr:row>0</xdr:row>
      <xdr:rowOff>161925</xdr:rowOff>
    </xdr:to>
    <xdr:sp macro="" textlink="">
      <xdr:nvSpPr>
        <xdr:cNvPr id="22" name="AutoShape 2" descr="q:\pbs\catqry\images\IPG_TRADECENTRE_MONT"/>
        <xdr:cNvSpPr>
          <a:spLocks noChangeAspect="1" noChangeArrowheads="1"/>
        </xdr:cNvSpPr>
      </xdr:nvSpPr>
      <xdr:spPr bwMode="auto">
        <a:xfrm>
          <a:off x="3048000" y="0"/>
          <a:ext cx="876300" cy="161925"/>
        </a:xfrm>
        <a:prstGeom prst="rect">
          <a:avLst/>
        </a:prstGeom>
        <a:noFill/>
        <a:ln w="9525">
          <a:noFill/>
          <a:miter lim="800000"/>
          <a:headEnd/>
          <a:tailEnd/>
        </a:ln>
      </xdr:spPr>
    </xdr:sp>
    <xdr:clientData/>
  </xdr:twoCellAnchor>
  <xdr:twoCellAnchor editAs="oneCell">
    <xdr:from>
      <xdr:col>0</xdr:col>
      <xdr:colOff>190497</xdr:colOff>
      <xdr:row>11</xdr:row>
      <xdr:rowOff>106138</xdr:rowOff>
    </xdr:from>
    <xdr:to>
      <xdr:col>0</xdr:col>
      <xdr:colOff>1198786</xdr:colOff>
      <xdr:row>11</xdr:row>
      <xdr:rowOff>382363</xdr:rowOff>
    </xdr:to>
    <xdr:pic>
      <xdr:nvPicPr>
        <xdr:cNvPr id="3074" name="Picture 2"/>
        <xdr:cNvPicPr>
          <a:picLocks noChangeAspect="1" noChangeArrowheads="1"/>
        </xdr:cNvPicPr>
      </xdr:nvPicPr>
      <xdr:blipFill>
        <a:blip xmlns:r="http://schemas.openxmlformats.org/officeDocument/2006/relationships" r:embed="rId12" cstate="print"/>
        <a:srcRect/>
        <a:stretch>
          <a:fillRect/>
        </a:stretch>
      </xdr:blipFill>
      <xdr:spPr bwMode="auto">
        <a:xfrm>
          <a:off x="190497" y="5644245"/>
          <a:ext cx="1008289" cy="276225"/>
        </a:xfrm>
        <a:prstGeom prst="rect">
          <a:avLst/>
        </a:prstGeom>
        <a:noFill/>
        <a:ln w="1">
          <a:noFill/>
          <a:miter lim="800000"/>
          <a:headEnd/>
          <a:tailEnd type="none" w="med" len="med"/>
        </a:ln>
        <a:effectLst/>
      </xdr:spPr>
    </xdr:pic>
    <xdr:clientData/>
  </xdr:twoCellAnchor>
  <xdr:twoCellAnchor editAs="oneCell">
    <xdr:from>
      <xdr:col>0</xdr:col>
      <xdr:colOff>6804</xdr:colOff>
      <xdr:row>10</xdr:row>
      <xdr:rowOff>78923</xdr:rowOff>
    </xdr:from>
    <xdr:to>
      <xdr:col>0</xdr:col>
      <xdr:colOff>1338943</xdr:colOff>
      <xdr:row>10</xdr:row>
      <xdr:rowOff>374198</xdr:rowOff>
    </xdr:to>
    <xdr:pic>
      <xdr:nvPicPr>
        <xdr:cNvPr id="3075" name="Picture 3"/>
        <xdr:cNvPicPr>
          <a:picLocks noChangeAspect="1" noChangeArrowheads="1"/>
        </xdr:cNvPicPr>
      </xdr:nvPicPr>
      <xdr:blipFill>
        <a:blip xmlns:r="http://schemas.openxmlformats.org/officeDocument/2006/relationships" r:embed="rId13" cstate="print"/>
        <a:srcRect/>
        <a:stretch>
          <a:fillRect/>
        </a:stretch>
      </xdr:blipFill>
      <xdr:spPr bwMode="auto">
        <a:xfrm>
          <a:off x="6804" y="5140780"/>
          <a:ext cx="1427389" cy="295275"/>
        </a:xfrm>
        <a:prstGeom prst="rect">
          <a:avLst/>
        </a:prstGeom>
        <a:noFill/>
        <a:ln w="1">
          <a:noFill/>
          <a:miter lim="800000"/>
          <a:headEnd/>
          <a:tailEnd type="none" w="med" len="med"/>
        </a:ln>
        <a:effectLst/>
      </xdr:spPr>
    </xdr:pic>
    <xdr:clientData/>
  </xdr:twoCellAnchor>
  <xdr:twoCellAnchor editAs="oneCell">
    <xdr:from>
      <xdr:col>0</xdr:col>
      <xdr:colOff>187778</xdr:colOff>
      <xdr:row>9</xdr:row>
      <xdr:rowOff>50348</xdr:rowOff>
    </xdr:from>
    <xdr:to>
      <xdr:col>0</xdr:col>
      <xdr:colOff>1234167</xdr:colOff>
      <xdr:row>9</xdr:row>
      <xdr:rowOff>421823</xdr:rowOff>
    </xdr:to>
    <xdr:pic>
      <xdr:nvPicPr>
        <xdr:cNvPr id="3076" name="Picture 4"/>
        <xdr:cNvPicPr>
          <a:picLocks noChangeAspect="1" noChangeArrowheads="1"/>
        </xdr:cNvPicPr>
      </xdr:nvPicPr>
      <xdr:blipFill>
        <a:blip xmlns:r="http://schemas.openxmlformats.org/officeDocument/2006/relationships" r:embed="rId14" cstate="print"/>
        <a:srcRect/>
        <a:stretch>
          <a:fillRect/>
        </a:stretch>
      </xdr:blipFill>
      <xdr:spPr bwMode="auto">
        <a:xfrm>
          <a:off x="187778" y="4635955"/>
          <a:ext cx="1046389" cy="371475"/>
        </a:xfrm>
        <a:prstGeom prst="rect">
          <a:avLst/>
        </a:prstGeom>
        <a:noFill/>
        <a:ln w="1">
          <a:noFill/>
          <a:miter lim="800000"/>
          <a:headEnd/>
          <a:tailEnd type="none" w="med" len="med"/>
        </a:ln>
        <a:effectLst/>
      </xdr:spPr>
    </xdr:pic>
    <xdr:clientData/>
  </xdr:twoCellAnchor>
  <xdr:twoCellAnchor editAs="oneCell">
    <xdr:from>
      <xdr:col>0</xdr:col>
      <xdr:colOff>380999</xdr:colOff>
      <xdr:row>8</xdr:row>
      <xdr:rowOff>81646</xdr:rowOff>
    </xdr:from>
    <xdr:to>
      <xdr:col>0</xdr:col>
      <xdr:colOff>1019174</xdr:colOff>
      <xdr:row>8</xdr:row>
      <xdr:rowOff>376921</xdr:rowOff>
    </xdr:to>
    <xdr:pic>
      <xdr:nvPicPr>
        <xdr:cNvPr id="3077" name="Picture 5"/>
        <xdr:cNvPicPr>
          <a:picLocks noChangeAspect="1" noChangeArrowheads="1"/>
        </xdr:cNvPicPr>
      </xdr:nvPicPr>
      <xdr:blipFill>
        <a:blip xmlns:r="http://schemas.openxmlformats.org/officeDocument/2006/relationships" r:embed="rId15" cstate="print"/>
        <a:srcRect/>
        <a:stretch>
          <a:fillRect/>
        </a:stretch>
      </xdr:blipFill>
      <xdr:spPr bwMode="auto">
        <a:xfrm>
          <a:off x="380999" y="4191003"/>
          <a:ext cx="638175" cy="295275"/>
        </a:xfrm>
        <a:prstGeom prst="rect">
          <a:avLst/>
        </a:prstGeom>
        <a:noFill/>
        <a:ln w="1">
          <a:noFill/>
          <a:miter lim="800000"/>
          <a:headEnd/>
          <a:tailEnd type="none" w="med" len="med"/>
        </a:ln>
        <a:effectLst/>
      </xdr:spPr>
    </xdr:pic>
    <xdr:clientData/>
  </xdr:twoCellAnchor>
  <xdr:twoCellAnchor editAs="oneCell">
    <xdr:from>
      <xdr:col>0</xdr:col>
      <xdr:colOff>92528</xdr:colOff>
      <xdr:row>13</xdr:row>
      <xdr:rowOff>37701</xdr:rowOff>
    </xdr:from>
    <xdr:to>
      <xdr:col>0</xdr:col>
      <xdr:colOff>1338739</xdr:colOff>
      <xdr:row>13</xdr:row>
      <xdr:rowOff>757701</xdr:rowOff>
    </xdr:to>
    <xdr:pic>
      <xdr:nvPicPr>
        <xdr:cNvPr id="3078" name="Picture 6"/>
        <xdr:cNvPicPr>
          <a:picLocks noChangeAspect="1" noChangeArrowheads="1"/>
        </xdr:cNvPicPr>
      </xdr:nvPicPr>
      <xdr:blipFill>
        <a:blip xmlns:r="http://schemas.openxmlformats.org/officeDocument/2006/relationships" r:embed="rId16" cstate="print"/>
        <a:srcRect/>
        <a:stretch>
          <a:fillRect/>
        </a:stretch>
      </xdr:blipFill>
      <xdr:spPr bwMode="auto">
        <a:xfrm>
          <a:off x="92528" y="6841272"/>
          <a:ext cx="1312886" cy="720000"/>
        </a:xfrm>
        <a:prstGeom prst="rect">
          <a:avLst/>
        </a:prstGeom>
        <a:noFill/>
      </xdr:spPr>
    </xdr:pic>
    <xdr:clientData/>
  </xdr:twoCellAnchor>
  <xdr:twoCellAnchor editAs="oneCell">
    <xdr:from>
      <xdr:col>1</xdr:col>
      <xdr:colOff>0</xdr:colOff>
      <xdr:row>0</xdr:row>
      <xdr:rowOff>28575</xdr:rowOff>
    </xdr:from>
    <xdr:to>
      <xdr:col>2</xdr:col>
      <xdr:colOff>4114800</xdr:colOff>
      <xdr:row>1</xdr:row>
      <xdr:rowOff>1384528</xdr:rowOff>
    </xdr:to>
    <xdr:pic>
      <xdr:nvPicPr>
        <xdr:cNvPr id="23" name="Picture 22" descr="Quiklok_Logo_Colour_Lrg.jpg"/>
        <xdr:cNvPicPr>
          <a:picLocks noChangeAspect="1"/>
        </xdr:cNvPicPr>
      </xdr:nvPicPr>
      <xdr:blipFill>
        <a:blip xmlns:r="http://schemas.openxmlformats.org/officeDocument/2006/relationships" r:embed="rId17" cstate="print"/>
        <a:stretch>
          <a:fillRect/>
        </a:stretch>
      </xdr:blipFill>
      <xdr:spPr>
        <a:xfrm>
          <a:off x="1847850" y="28575"/>
          <a:ext cx="5343525" cy="1565503"/>
        </a:xfrm>
        <a:prstGeom prst="rect">
          <a:avLst/>
        </a:prstGeom>
      </xdr:spPr>
    </xdr:pic>
    <xdr:clientData/>
  </xdr:twoCellAnchor>
  <xdr:twoCellAnchor editAs="oneCell">
    <xdr:from>
      <xdr:col>6</xdr:col>
      <xdr:colOff>0</xdr:colOff>
      <xdr:row>8</xdr:row>
      <xdr:rowOff>247650</xdr:rowOff>
    </xdr:from>
    <xdr:to>
      <xdr:col>6</xdr:col>
      <xdr:colOff>171343</xdr:colOff>
      <xdr:row>8</xdr:row>
      <xdr:rowOff>247696</xdr:rowOff>
    </xdr:to>
    <xdr:pic>
      <xdr:nvPicPr>
        <xdr:cNvPr id="27" name="Picture 26"/>
        <xdr:cNvPicPr>
          <a:picLocks noChangeAspect="1" noChangeArrowheads="1"/>
        </xdr:cNvPicPr>
      </xdr:nvPicPr>
      <xdr:blipFill>
        <a:blip xmlns:r="http://schemas.openxmlformats.org/officeDocument/2006/relationships" r:embed="rId2" cstate="print"/>
        <a:stretch>
          <a:fillRect/>
        </a:stretch>
      </xdr:blipFill>
      <xdr:spPr bwMode="auto">
        <a:xfrm>
          <a:off x="895350" y="4343400"/>
          <a:ext cx="352318" cy="46"/>
        </a:xfrm>
        <a:prstGeom prst="rect">
          <a:avLst/>
        </a:prstGeom>
        <a:noFill/>
        <a:ln>
          <a:noFill/>
        </a:ln>
      </xdr:spPr>
    </xdr:pic>
    <xdr:clientData/>
  </xdr:twoCellAnchor>
  <xdr:twoCellAnchor editAs="oneCell">
    <xdr:from>
      <xdr:col>6</xdr:col>
      <xdr:colOff>0</xdr:colOff>
      <xdr:row>9</xdr:row>
      <xdr:rowOff>205154</xdr:rowOff>
    </xdr:from>
    <xdr:to>
      <xdr:col>6</xdr:col>
      <xdr:colOff>314170</xdr:colOff>
      <xdr:row>9</xdr:row>
      <xdr:rowOff>205212</xdr:rowOff>
    </xdr:to>
    <xdr:pic>
      <xdr:nvPicPr>
        <xdr:cNvPr id="28" name="Picture 27"/>
        <xdr:cNvPicPr>
          <a:picLocks noChangeAspect="1" noChangeArrowheads="1"/>
        </xdr:cNvPicPr>
      </xdr:nvPicPr>
      <xdr:blipFill>
        <a:blip xmlns:r="http://schemas.openxmlformats.org/officeDocument/2006/relationships" r:embed="rId3" cstate="print"/>
        <a:stretch>
          <a:fillRect/>
        </a:stretch>
      </xdr:blipFill>
      <xdr:spPr bwMode="auto">
        <a:xfrm>
          <a:off x="752475" y="4777154"/>
          <a:ext cx="495145" cy="58"/>
        </a:xfrm>
        <a:prstGeom prst="rect">
          <a:avLst/>
        </a:prstGeom>
        <a:noFill/>
        <a:ln>
          <a:noFill/>
        </a:ln>
      </xdr:spPr>
    </xdr:pic>
    <xdr:clientData/>
  </xdr:twoCellAnchor>
  <xdr:twoCellAnchor editAs="oneCell">
    <xdr:from>
      <xdr:col>6</xdr:col>
      <xdr:colOff>0</xdr:colOff>
      <xdr:row>10</xdr:row>
      <xdr:rowOff>295840</xdr:rowOff>
    </xdr:from>
    <xdr:to>
      <xdr:col>6</xdr:col>
      <xdr:colOff>371475</xdr:colOff>
      <xdr:row>10</xdr:row>
      <xdr:rowOff>296448</xdr:rowOff>
    </xdr:to>
    <xdr:pic>
      <xdr:nvPicPr>
        <xdr:cNvPr id="29" name="Picture 28"/>
        <xdr:cNvPicPr>
          <a:picLocks noChangeAspect="1" noChangeArrowheads="1"/>
        </xdr:cNvPicPr>
      </xdr:nvPicPr>
      <xdr:blipFill>
        <a:blip xmlns:r="http://schemas.openxmlformats.org/officeDocument/2006/relationships" r:embed="rId4" cstate="print"/>
        <a:stretch>
          <a:fillRect/>
        </a:stretch>
      </xdr:blipFill>
      <xdr:spPr bwMode="auto">
        <a:xfrm>
          <a:off x="695325" y="5344090"/>
          <a:ext cx="552450" cy="608"/>
        </a:xfrm>
        <a:prstGeom prst="rect">
          <a:avLst/>
        </a:prstGeom>
        <a:noFill/>
        <a:ln>
          <a:noFill/>
        </a:ln>
      </xdr:spPr>
    </xdr:pic>
    <xdr:clientData/>
  </xdr:twoCellAnchor>
  <xdr:twoCellAnchor editAs="oneCell">
    <xdr:from>
      <xdr:col>6</xdr:col>
      <xdr:colOff>0</xdr:colOff>
      <xdr:row>11</xdr:row>
      <xdr:rowOff>228600</xdr:rowOff>
    </xdr:from>
    <xdr:to>
      <xdr:col>6</xdr:col>
      <xdr:colOff>371322</xdr:colOff>
      <xdr:row>11</xdr:row>
      <xdr:rowOff>228645</xdr:rowOff>
    </xdr:to>
    <xdr:pic>
      <xdr:nvPicPr>
        <xdr:cNvPr id="30" name="Picture 29"/>
        <xdr:cNvPicPr>
          <a:picLocks noChangeAspect="1" noChangeArrowheads="1"/>
        </xdr:cNvPicPr>
      </xdr:nvPicPr>
      <xdr:blipFill>
        <a:blip xmlns:r="http://schemas.openxmlformats.org/officeDocument/2006/relationships" r:embed="rId5" cstate="print"/>
        <a:stretch>
          <a:fillRect/>
        </a:stretch>
      </xdr:blipFill>
      <xdr:spPr bwMode="auto">
        <a:xfrm>
          <a:off x="695325" y="5753100"/>
          <a:ext cx="552297" cy="45"/>
        </a:xfrm>
        <a:prstGeom prst="rect">
          <a:avLst/>
        </a:prstGeom>
        <a:noFill/>
        <a:ln>
          <a:noFill/>
        </a:ln>
      </xdr:spPr>
    </xdr:pic>
    <xdr:clientData/>
  </xdr:twoCellAnchor>
  <xdr:twoCellAnchor editAs="oneCell">
    <xdr:from>
      <xdr:col>6</xdr:col>
      <xdr:colOff>0</xdr:colOff>
      <xdr:row>1</xdr:row>
      <xdr:rowOff>314325</xdr:rowOff>
    </xdr:from>
    <xdr:to>
      <xdr:col>8</xdr:col>
      <xdr:colOff>0</xdr:colOff>
      <xdr:row>1</xdr:row>
      <xdr:rowOff>314325</xdr:rowOff>
    </xdr:to>
    <xdr:pic>
      <xdr:nvPicPr>
        <xdr:cNvPr id="39" name="Picture 10" descr="Elegance_logo_colour_30cm.jpg"/>
        <xdr:cNvPicPr>
          <a:picLocks noChangeAspect="1"/>
        </xdr:cNvPicPr>
      </xdr:nvPicPr>
      <xdr:blipFill>
        <a:blip xmlns:r="http://schemas.openxmlformats.org/officeDocument/2006/relationships" r:embed="rId11"/>
        <a:srcRect/>
        <a:stretch>
          <a:fillRect/>
        </a:stretch>
      </xdr:blipFill>
      <xdr:spPr bwMode="auto">
        <a:xfrm>
          <a:off x="638175" y="523875"/>
          <a:ext cx="6153150" cy="0"/>
        </a:xfrm>
        <a:prstGeom prst="rect">
          <a:avLst/>
        </a:prstGeom>
        <a:noFill/>
        <a:ln w="9525">
          <a:noFill/>
          <a:miter lim="800000"/>
          <a:headEnd/>
          <a:tailEnd/>
        </a:ln>
      </xdr:spPr>
    </xdr:pic>
    <xdr:clientData/>
  </xdr:twoCellAnchor>
  <xdr:twoCellAnchor editAs="oneCell">
    <xdr:from>
      <xdr:col>6</xdr:col>
      <xdr:colOff>0</xdr:colOff>
      <xdr:row>0</xdr:row>
      <xdr:rowOff>0</xdr:rowOff>
    </xdr:from>
    <xdr:to>
      <xdr:col>6</xdr:col>
      <xdr:colOff>581025</xdr:colOff>
      <xdr:row>0</xdr:row>
      <xdr:rowOff>161925</xdr:rowOff>
    </xdr:to>
    <xdr:sp macro="" textlink="">
      <xdr:nvSpPr>
        <xdr:cNvPr id="40" name="AutoShape 2" descr="q:\pbs\catqry\images\IPG_TRADECENTRE_MONT"/>
        <xdr:cNvSpPr>
          <a:spLocks noChangeAspect="1" noChangeArrowheads="1"/>
        </xdr:cNvSpPr>
      </xdr:nvSpPr>
      <xdr:spPr bwMode="auto">
        <a:xfrm>
          <a:off x="2362200" y="0"/>
          <a:ext cx="3276600" cy="161925"/>
        </a:xfrm>
        <a:prstGeom prst="rect">
          <a:avLst/>
        </a:prstGeom>
        <a:noFill/>
        <a:ln w="9525">
          <a:noFill/>
          <a:miter lim="800000"/>
          <a:headEnd/>
          <a:tailEnd/>
        </a:ln>
      </xdr:spPr>
    </xdr:sp>
    <xdr:clientData/>
  </xdr:twoCellAnchor>
  <xdr:twoCellAnchor editAs="oneCell">
    <xdr:from>
      <xdr:col>0</xdr:col>
      <xdr:colOff>435428</xdr:colOff>
      <xdr:row>22</xdr:row>
      <xdr:rowOff>33836</xdr:rowOff>
    </xdr:from>
    <xdr:to>
      <xdr:col>0</xdr:col>
      <xdr:colOff>1081317</xdr:colOff>
      <xdr:row>22</xdr:row>
      <xdr:rowOff>733425</xdr:rowOff>
    </xdr:to>
    <xdr:pic>
      <xdr:nvPicPr>
        <xdr:cNvPr id="64" name="Picture 63"/>
        <xdr:cNvPicPr>
          <a:picLocks noChangeAspect="1" noChangeArrowheads="1"/>
        </xdr:cNvPicPr>
      </xdr:nvPicPr>
      <xdr:blipFill>
        <a:blip xmlns:r="http://schemas.openxmlformats.org/officeDocument/2006/relationships" r:embed="rId18" cstate="print"/>
        <a:stretch>
          <a:fillRect/>
        </a:stretch>
      </xdr:blipFill>
      <xdr:spPr bwMode="auto">
        <a:xfrm>
          <a:off x="435428" y="13940336"/>
          <a:ext cx="645889" cy="699589"/>
        </a:xfrm>
        <a:prstGeom prst="rect">
          <a:avLst/>
        </a:prstGeom>
        <a:noFill/>
        <a:ln>
          <a:noFill/>
        </a:ln>
      </xdr:spPr>
    </xdr:pic>
    <xdr:clientData/>
  </xdr:twoCellAnchor>
  <xdr:twoCellAnchor editAs="oneCell">
    <xdr:from>
      <xdr:col>0</xdr:col>
      <xdr:colOff>299355</xdr:colOff>
      <xdr:row>21</xdr:row>
      <xdr:rowOff>44904</xdr:rowOff>
    </xdr:from>
    <xdr:to>
      <xdr:col>0</xdr:col>
      <xdr:colOff>1159155</xdr:colOff>
      <xdr:row>21</xdr:row>
      <xdr:rowOff>742949</xdr:rowOff>
    </xdr:to>
    <xdr:pic>
      <xdr:nvPicPr>
        <xdr:cNvPr id="65" name="Picture 64"/>
        <xdr:cNvPicPr>
          <a:picLocks noChangeAspect="1" noChangeArrowheads="1"/>
        </xdr:cNvPicPr>
      </xdr:nvPicPr>
      <xdr:blipFill>
        <a:blip xmlns:r="http://schemas.openxmlformats.org/officeDocument/2006/relationships" r:embed="rId19" cstate="print"/>
        <a:stretch>
          <a:fillRect/>
        </a:stretch>
      </xdr:blipFill>
      <xdr:spPr bwMode="auto">
        <a:xfrm>
          <a:off x="299355" y="13160829"/>
          <a:ext cx="859800" cy="698045"/>
        </a:xfrm>
        <a:prstGeom prst="rect">
          <a:avLst/>
        </a:prstGeom>
        <a:noFill/>
        <a:ln>
          <a:noFill/>
        </a:ln>
      </xdr:spPr>
    </xdr:pic>
    <xdr:clientData/>
  </xdr:twoCellAnchor>
  <xdr:twoCellAnchor editAs="oneCell">
    <xdr:from>
      <xdr:col>0</xdr:col>
      <xdr:colOff>254455</xdr:colOff>
      <xdr:row>18</xdr:row>
      <xdr:rowOff>34016</xdr:rowOff>
    </xdr:from>
    <xdr:to>
      <xdr:col>0</xdr:col>
      <xdr:colOff>1102472</xdr:colOff>
      <xdr:row>18</xdr:row>
      <xdr:rowOff>754016</xdr:rowOff>
    </xdr:to>
    <xdr:pic>
      <xdr:nvPicPr>
        <xdr:cNvPr id="66" name="Picture 1"/>
        <xdr:cNvPicPr>
          <a:picLocks noChangeAspect="1" noChangeArrowheads="1"/>
        </xdr:cNvPicPr>
      </xdr:nvPicPr>
      <xdr:blipFill>
        <a:blip xmlns:r="http://schemas.openxmlformats.org/officeDocument/2006/relationships" r:embed="rId20" cstate="print"/>
        <a:srcRect/>
        <a:stretch>
          <a:fillRect/>
        </a:stretch>
      </xdr:blipFill>
      <xdr:spPr bwMode="auto">
        <a:xfrm>
          <a:off x="254455" y="10778216"/>
          <a:ext cx="848017" cy="720000"/>
        </a:xfrm>
        <a:prstGeom prst="rect">
          <a:avLst/>
        </a:prstGeom>
        <a:noFill/>
        <a:ln w="1">
          <a:noFill/>
          <a:miter lim="800000"/>
          <a:headEnd/>
          <a:tailEnd type="none" w="med" len="med"/>
        </a:ln>
        <a:effectLst/>
      </xdr:spPr>
    </xdr:pic>
    <xdr:clientData/>
  </xdr:twoCellAnchor>
  <xdr:twoCellAnchor editAs="oneCell">
    <xdr:from>
      <xdr:col>1</xdr:col>
      <xdr:colOff>0</xdr:colOff>
      <xdr:row>19</xdr:row>
      <xdr:rowOff>0</xdr:rowOff>
    </xdr:from>
    <xdr:to>
      <xdr:col>1</xdr:col>
      <xdr:colOff>171343</xdr:colOff>
      <xdr:row>19</xdr:row>
      <xdr:rowOff>46</xdr:rowOff>
    </xdr:to>
    <xdr:pic>
      <xdr:nvPicPr>
        <xdr:cNvPr id="67" name="Picture 66"/>
        <xdr:cNvPicPr>
          <a:picLocks noChangeAspect="1" noChangeArrowheads="1"/>
        </xdr:cNvPicPr>
      </xdr:nvPicPr>
      <xdr:blipFill>
        <a:blip xmlns:r="http://schemas.openxmlformats.org/officeDocument/2006/relationships" r:embed="rId2" cstate="print"/>
        <a:stretch>
          <a:fillRect/>
        </a:stretch>
      </xdr:blipFill>
      <xdr:spPr bwMode="auto">
        <a:xfrm>
          <a:off x="10042071" y="4357007"/>
          <a:ext cx="171343" cy="46"/>
        </a:xfrm>
        <a:prstGeom prst="rect">
          <a:avLst/>
        </a:prstGeom>
        <a:noFill/>
        <a:ln>
          <a:noFill/>
        </a:ln>
      </xdr:spPr>
    </xdr:pic>
    <xdr:clientData/>
  </xdr:twoCellAnchor>
  <xdr:twoCellAnchor editAs="oneCell">
    <xdr:from>
      <xdr:col>1</xdr:col>
      <xdr:colOff>0</xdr:colOff>
      <xdr:row>19</xdr:row>
      <xdr:rowOff>205154</xdr:rowOff>
    </xdr:from>
    <xdr:to>
      <xdr:col>1</xdr:col>
      <xdr:colOff>314170</xdr:colOff>
      <xdr:row>19</xdr:row>
      <xdr:rowOff>205212</xdr:rowOff>
    </xdr:to>
    <xdr:pic>
      <xdr:nvPicPr>
        <xdr:cNvPr id="68" name="Picture 67"/>
        <xdr:cNvPicPr>
          <a:picLocks noChangeAspect="1" noChangeArrowheads="1"/>
        </xdr:cNvPicPr>
      </xdr:nvPicPr>
      <xdr:blipFill>
        <a:blip xmlns:r="http://schemas.openxmlformats.org/officeDocument/2006/relationships" r:embed="rId3" cstate="print"/>
        <a:stretch>
          <a:fillRect/>
        </a:stretch>
      </xdr:blipFill>
      <xdr:spPr bwMode="auto">
        <a:xfrm>
          <a:off x="10042071" y="4790761"/>
          <a:ext cx="314170" cy="58"/>
        </a:xfrm>
        <a:prstGeom prst="rect">
          <a:avLst/>
        </a:prstGeom>
        <a:noFill/>
        <a:ln>
          <a:noFill/>
        </a:ln>
      </xdr:spPr>
    </xdr:pic>
    <xdr:clientData/>
  </xdr:twoCellAnchor>
  <xdr:twoCellAnchor editAs="oneCell">
    <xdr:from>
      <xdr:col>1</xdr:col>
      <xdr:colOff>0</xdr:colOff>
      <xdr:row>20</xdr:row>
      <xdr:rowOff>0</xdr:rowOff>
    </xdr:from>
    <xdr:to>
      <xdr:col>1</xdr:col>
      <xdr:colOff>371475</xdr:colOff>
      <xdr:row>20</xdr:row>
      <xdr:rowOff>608</xdr:rowOff>
    </xdr:to>
    <xdr:pic>
      <xdr:nvPicPr>
        <xdr:cNvPr id="69" name="Picture 68"/>
        <xdr:cNvPicPr>
          <a:picLocks noChangeAspect="1" noChangeArrowheads="1"/>
        </xdr:cNvPicPr>
      </xdr:nvPicPr>
      <xdr:blipFill>
        <a:blip xmlns:r="http://schemas.openxmlformats.org/officeDocument/2006/relationships" r:embed="rId4" cstate="print"/>
        <a:stretch>
          <a:fillRect/>
        </a:stretch>
      </xdr:blipFill>
      <xdr:spPr bwMode="auto">
        <a:xfrm>
          <a:off x="10042071" y="5357697"/>
          <a:ext cx="371475" cy="608"/>
        </a:xfrm>
        <a:prstGeom prst="rect">
          <a:avLst/>
        </a:prstGeom>
        <a:noFill/>
        <a:ln>
          <a:noFill/>
        </a:ln>
      </xdr:spPr>
    </xdr:pic>
    <xdr:clientData/>
  </xdr:twoCellAnchor>
  <xdr:twoCellAnchor editAs="oneCell">
    <xdr:from>
      <xdr:col>1</xdr:col>
      <xdr:colOff>0</xdr:colOff>
      <xdr:row>20</xdr:row>
      <xdr:rowOff>228600</xdr:rowOff>
    </xdr:from>
    <xdr:to>
      <xdr:col>1</xdr:col>
      <xdr:colOff>371322</xdr:colOff>
      <xdr:row>20</xdr:row>
      <xdr:rowOff>228645</xdr:rowOff>
    </xdr:to>
    <xdr:pic>
      <xdr:nvPicPr>
        <xdr:cNvPr id="70" name="Picture 69"/>
        <xdr:cNvPicPr>
          <a:picLocks noChangeAspect="1" noChangeArrowheads="1"/>
        </xdr:cNvPicPr>
      </xdr:nvPicPr>
      <xdr:blipFill>
        <a:blip xmlns:r="http://schemas.openxmlformats.org/officeDocument/2006/relationships" r:embed="rId5" cstate="print"/>
        <a:stretch>
          <a:fillRect/>
        </a:stretch>
      </xdr:blipFill>
      <xdr:spPr bwMode="auto">
        <a:xfrm>
          <a:off x="10042071" y="5766707"/>
          <a:ext cx="371322" cy="45"/>
        </a:xfrm>
        <a:prstGeom prst="rect">
          <a:avLst/>
        </a:prstGeom>
        <a:noFill/>
        <a:ln>
          <a:noFill/>
        </a:ln>
      </xdr:spPr>
    </xdr:pic>
    <xdr:clientData/>
  </xdr:twoCellAnchor>
  <xdr:twoCellAnchor editAs="oneCell">
    <xdr:from>
      <xdr:col>0</xdr:col>
      <xdr:colOff>182337</xdr:colOff>
      <xdr:row>20</xdr:row>
      <xdr:rowOff>36738</xdr:rowOff>
    </xdr:from>
    <xdr:to>
      <xdr:col>0</xdr:col>
      <xdr:colOff>1228725</xdr:colOff>
      <xdr:row>20</xdr:row>
      <xdr:rowOff>756738</xdr:rowOff>
    </xdr:to>
    <xdr:pic>
      <xdr:nvPicPr>
        <xdr:cNvPr id="71" name="Picture 2"/>
        <xdr:cNvPicPr>
          <a:picLocks noChangeAspect="1" noChangeArrowheads="1"/>
        </xdr:cNvPicPr>
      </xdr:nvPicPr>
      <xdr:blipFill>
        <a:blip xmlns:r="http://schemas.openxmlformats.org/officeDocument/2006/relationships" r:embed="rId21" cstate="print"/>
        <a:srcRect/>
        <a:stretch>
          <a:fillRect/>
        </a:stretch>
      </xdr:blipFill>
      <xdr:spPr bwMode="auto">
        <a:xfrm>
          <a:off x="182337" y="12362088"/>
          <a:ext cx="1046388" cy="720000"/>
        </a:xfrm>
        <a:prstGeom prst="rect">
          <a:avLst/>
        </a:prstGeom>
        <a:noFill/>
        <a:ln w="1">
          <a:noFill/>
          <a:miter lim="800000"/>
          <a:headEnd/>
          <a:tailEnd type="none" w="med" len="med"/>
        </a:ln>
        <a:effectLst/>
      </xdr:spPr>
    </xdr:pic>
    <xdr:clientData/>
  </xdr:twoCellAnchor>
  <xdr:twoCellAnchor editAs="oneCell">
    <xdr:from>
      <xdr:col>0</xdr:col>
      <xdr:colOff>278947</xdr:colOff>
      <xdr:row>19</xdr:row>
      <xdr:rowOff>36739</xdr:rowOff>
    </xdr:from>
    <xdr:to>
      <xdr:col>0</xdr:col>
      <xdr:colOff>1078146</xdr:colOff>
      <xdr:row>19</xdr:row>
      <xdr:rowOff>756739</xdr:rowOff>
    </xdr:to>
    <xdr:pic>
      <xdr:nvPicPr>
        <xdr:cNvPr id="72" name="Picture 3"/>
        <xdr:cNvPicPr>
          <a:picLocks noChangeAspect="1" noChangeArrowheads="1"/>
        </xdr:cNvPicPr>
      </xdr:nvPicPr>
      <xdr:blipFill>
        <a:blip xmlns:r="http://schemas.openxmlformats.org/officeDocument/2006/relationships" r:embed="rId22" cstate="print"/>
        <a:srcRect/>
        <a:stretch>
          <a:fillRect/>
        </a:stretch>
      </xdr:blipFill>
      <xdr:spPr bwMode="auto">
        <a:xfrm>
          <a:off x="278947" y="11571514"/>
          <a:ext cx="799199" cy="72000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362325"/>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362325"/>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362325"/>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362325"/>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6177803"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1971675" y="0"/>
          <a:ext cx="3307977" cy="161925"/>
        </a:xfrm>
        <a:prstGeom prst="rect">
          <a:avLst/>
        </a:prstGeom>
        <a:noFill/>
        <a:ln w="9525">
          <a:noFill/>
          <a:miter lim="800000"/>
          <a:headEnd/>
          <a:tailEnd/>
        </a:ln>
      </xdr:spPr>
    </xdr:sp>
    <xdr:clientData/>
  </xdr:twoCellAnchor>
  <xdr:twoCellAnchor editAs="oneCell">
    <xdr:from>
      <xdr:col>2</xdr:col>
      <xdr:colOff>847725</xdr:colOff>
      <xdr:row>42</xdr:row>
      <xdr:rowOff>0</xdr:rowOff>
    </xdr:from>
    <xdr:to>
      <xdr:col>5</xdr:col>
      <xdr:colOff>419490</xdr:colOff>
      <xdr:row>60</xdr:row>
      <xdr:rowOff>132595</xdr:rowOff>
    </xdr:to>
    <xdr:pic>
      <xdr:nvPicPr>
        <xdr:cNvPr id="9" name="Picture 8" descr="CFS_Elevation-BOMa.png"/>
        <xdr:cNvPicPr>
          <a:picLocks noChangeAspect="1"/>
        </xdr:cNvPicPr>
      </xdr:nvPicPr>
      <xdr:blipFill>
        <a:blip xmlns:r="http://schemas.openxmlformats.org/officeDocument/2006/relationships" r:embed="rId6" cstate="print"/>
        <a:stretch>
          <a:fillRect/>
        </a:stretch>
      </xdr:blipFill>
      <xdr:spPr>
        <a:xfrm>
          <a:off x="2581275" y="12115800"/>
          <a:ext cx="4486665" cy="3599695"/>
        </a:xfrm>
        <a:prstGeom prst="rect">
          <a:avLst/>
        </a:prstGeom>
      </xdr:spPr>
    </xdr:pic>
    <xdr:clientData/>
  </xdr:twoCellAnchor>
  <xdr:twoCellAnchor editAs="oneCell">
    <xdr:from>
      <xdr:col>2</xdr:col>
      <xdr:colOff>666750</xdr:colOff>
      <xdr:row>0</xdr:row>
      <xdr:rowOff>28575</xdr:rowOff>
    </xdr:from>
    <xdr:to>
      <xdr:col>5</xdr:col>
      <xdr:colOff>866775</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476500" y="28575"/>
          <a:ext cx="5343525" cy="1565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1219200</xdr:colOff>
      <xdr:row>41</xdr:row>
      <xdr:rowOff>0</xdr:rowOff>
    </xdr:from>
    <xdr:to>
      <xdr:col>5</xdr:col>
      <xdr:colOff>726957</xdr:colOff>
      <xdr:row>59</xdr:row>
      <xdr:rowOff>94495</xdr:rowOff>
    </xdr:to>
    <xdr:pic>
      <xdr:nvPicPr>
        <xdr:cNvPr id="9" name="Picture 8" descr="CFS_Elevation-BOMb.png"/>
        <xdr:cNvPicPr>
          <a:picLocks noChangeAspect="1"/>
        </xdr:cNvPicPr>
      </xdr:nvPicPr>
      <xdr:blipFill>
        <a:blip xmlns:r="http://schemas.openxmlformats.org/officeDocument/2006/relationships" r:embed="rId6" cstate="print"/>
        <a:stretch>
          <a:fillRect/>
        </a:stretch>
      </xdr:blipFill>
      <xdr:spPr>
        <a:xfrm>
          <a:off x="2952750" y="11953875"/>
          <a:ext cx="4422657" cy="3599695"/>
        </a:xfrm>
        <a:prstGeom prst="rect">
          <a:avLst/>
        </a:prstGeom>
      </xdr:spPr>
    </xdr:pic>
    <xdr:clientData/>
  </xdr:twoCellAnchor>
  <xdr:twoCellAnchor editAs="oneCell">
    <xdr:from>
      <xdr:col>2</xdr:col>
      <xdr:colOff>771525</xdr:colOff>
      <xdr:row>0</xdr:row>
      <xdr:rowOff>28575</xdr:rowOff>
    </xdr:from>
    <xdr:to>
      <xdr:col>5</xdr:col>
      <xdr:colOff>971550</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581275" y="28575"/>
          <a:ext cx="5343525" cy="1565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1238250</xdr:colOff>
      <xdr:row>42</xdr:row>
      <xdr:rowOff>0</xdr:rowOff>
    </xdr:from>
    <xdr:to>
      <xdr:col>5</xdr:col>
      <xdr:colOff>742959</xdr:colOff>
      <xdr:row>60</xdr:row>
      <xdr:rowOff>132595</xdr:rowOff>
    </xdr:to>
    <xdr:pic>
      <xdr:nvPicPr>
        <xdr:cNvPr id="9" name="Picture 8" descr="CFS_Elevation-BOMc.png"/>
        <xdr:cNvPicPr>
          <a:picLocks noChangeAspect="1"/>
        </xdr:cNvPicPr>
      </xdr:nvPicPr>
      <xdr:blipFill>
        <a:blip xmlns:r="http://schemas.openxmlformats.org/officeDocument/2006/relationships" r:embed="rId6" cstate="print"/>
        <a:stretch>
          <a:fillRect/>
        </a:stretch>
      </xdr:blipFill>
      <xdr:spPr>
        <a:xfrm>
          <a:off x="2971800" y="12163425"/>
          <a:ext cx="4419609" cy="3599695"/>
        </a:xfrm>
        <a:prstGeom prst="rect">
          <a:avLst/>
        </a:prstGeom>
      </xdr:spPr>
    </xdr:pic>
    <xdr:clientData/>
  </xdr:twoCellAnchor>
  <xdr:twoCellAnchor editAs="oneCell">
    <xdr:from>
      <xdr:col>2</xdr:col>
      <xdr:colOff>876300</xdr:colOff>
      <xdr:row>0</xdr:row>
      <xdr:rowOff>28575</xdr:rowOff>
    </xdr:from>
    <xdr:to>
      <xdr:col>5</xdr:col>
      <xdr:colOff>1076325</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686050" y="28575"/>
          <a:ext cx="5343525" cy="1565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647700</xdr:colOff>
      <xdr:row>43</xdr:row>
      <xdr:rowOff>0</xdr:rowOff>
    </xdr:from>
    <xdr:to>
      <xdr:col>5</xdr:col>
      <xdr:colOff>1304555</xdr:colOff>
      <xdr:row>61</xdr:row>
      <xdr:rowOff>113545</xdr:rowOff>
    </xdr:to>
    <xdr:pic>
      <xdr:nvPicPr>
        <xdr:cNvPr id="9" name="Picture 8" descr="CFS_Elevation-BOMd.png"/>
        <xdr:cNvPicPr>
          <a:picLocks noChangeAspect="1"/>
        </xdr:cNvPicPr>
      </xdr:nvPicPr>
      <xdr:blipFill>
        <a:blip xmlns:r="http://schemas.openxmlformats.org/officeDocument/2006/relationships" r:embed="rId6" cstate="print"/>
        <a:stretch>
          <a:fillRect/>
        </a:stretch>
      </xdr:blipFill>
      <xdr:spPr>
        <a:xfrm>
          <a:off x="2381250" y="12087225"/>
          <a:ext cx="5571755" cy="3599695"/>
        </a:xfrm>
        <a:prstGeom prst="rect">
          <a:avLst/>
        </a:prstGeom>
      </xdr:spPr>
    </xdr:pic>
    <xdr:clientData/>
  </xdr:twoCellAnchor>
  <xdr:twoCellAnchor editAs="oneCell">
    <xdr:from>
      <xdr:col>2</xdr:col>
      <xdr:colOff>857250</xdr:colOff>
      <xdr:row>0</xdr:row>
      <xdr:rowOff>28575</xdr:rowOff>
    </xdr:from>
    <xdr:to>
      <xdr:col>5</xdr:col>
      <xdr:colOff>1057275</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667000" y="28575"/>
          <a:ext cx="5343525" cy="1565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638175</xdr:colOff>
      <xdr:row>43</xdr:row>
      <xdr:rowOff>190500</xdr:rowOff>
    </xdr:from>
    <xdr:to>
      <xdr:col>5</xdr:col>
      <xdr:colOff>1295030</xdr:colOff>
      <xdr:row>62</xdr:row>
      <xdr:rowOff>104020</xdr:rowOff>
    </xdr:to>
    <xdr:pic>
      <xdr:nvPicPr>
        <xdr:cNvPr id="9" name="Picture 8" descr="CFS_Elevation-BOMe.png"/>
        <xdr:cNvPicPr>
          <a:picLocks noChangeAspect="1"/>
        </xdr:cNvPicPr>
      </xdr:nvPicPr>
      <xdr:blipFill>
        <a:blip xmlns:r="http://schemas.openxmlformats.org/officeDocument/2006/relationships" r:embed="rId6" cstate="print"/>
        <a:stretch>
          <a:fillRect/>
        </a:stretch>
      </xdr:blipFill>
      <xdr:spPr>
        <a:xfrm>
          <a:off x="2505075" y="12287250"/>
          <a:ext cx="5943230" cy="3599695"/>
        </a:xfrm>
        <a:prstGeom prst="rect">
          <a:avLst/>
        </a:prstGeom>
      </xdr:spPr>
    </xdr:pic>
    <xdr:clientData/>
  </xdr:twoCellAnchor>
  <xdr:twoCellAnchor editAs="oneCell">
    <xdr:from>
      <xdr:col>2</xdr:col>
      <xdr:colOff>866775</xdr:colOff>
      <xdr:row>0</xdr:row>
      <xdr:rowOff>28575</xdr:rowOff>
    </xdr:from>
    <xdr:to>
      <xdr:col>5</xdr:col>
      <xdr:colOff>1066800</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676525" y="28575"/>
          <a:ext cx="5343525" cy="1565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3</xdr:col>
      <xdr:colOff>104775</xdr:colOff>
      <xdr:row>39</xdr:row>
      <xdr:rowOff>0</xdr:rowOff>
    </xdr:from>
    <xdr:to>
      <xdr:col>4</xdr:col>
      <xdr:colOff>1551057</xdr:colOff>
      <xdr:row>57</xdr:row>
      <xdr:rowOff>132595</xdr:rowOff>
    </xdr:to>
    <xdr:pic>
      <xdr:nvPicPr>
        <xdr:cNvPr id="9" name="Picture 8" descr="CFS_Elevation-BOMf.png"/>
        <xdr:cNvPicPr>
          <a:picLocks noChangeAspect="1"/>
        </xdr:cNvPicPr>
      </xdr:nvPicPr>
      <xdr:blipFill>
        <a:blip xmlns:r="http://schemas.openxmlformats.org/officeDocument/2006/relationships" r:embed="rId6" cstate="print"/>
        <a:stretch>
          <a:fillRect/>
        </a:stretch>
      </xdr:blipFill>
      <xdr:spPr>
        <a:xfrm>
          <a:off x="3476625" y="11296650"/>
          <a:ext cx="3084582" cy="3599695"/>
        </a:xfrm>
        <a:prstGeom prst="rect">
          <a:avLst/>
        </a:prstGeom>
      </xdr:spPr>
    </xdr:pic>
    <xdr:clientData/>
  </xdr:twoCellAnchor>
  <xdr:twoCellAnchor editAs="oneCell">
    <xdr:from>
      <xdr:col>2</xdr:col>
      <xdr:colOff>866775</xdr:colOff>
      <xdr:row>0</xdr:row>
      <xdr:rowOff>28575</xdr:rowOff>
    </xdr:from>
    <xdr:to>
      <xdr:col>5</xdr:col>
      <xdr:colOff>1066800</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676525" y="28575"/>
          <a:ext cx="5343525" cy="1565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3</xdr:col>
      <xdr:colOff>95250</xdr:colOff>
      <xdr:row>40</xdr:row>
      <xdr:rowOff>0</xdr:rowOff>
    </xdr:from>
    <xdr:to>
      <xdr:col>4</xdr:col>
      <xdr:colOff>1541532</xdr:colOff>
      <xdr:row>58</xdr:row>
      <xdr:rowOff>132595</xdr:rowOff>
    </xdr:to>
    <xdr:pic>
      <xdr:nvPicPr>
        <xdr:cNvPr id="9" name="Picture 8" descr="CFS_Elevation-BOMg.png"/>
        <xdr:cNvPicPr>
          <a:picLocks noChangeAspect="1"/>
        </xdr:cNvPicPr>
      </xdr:nvPicPr>
      <xdr:blipFill>
        <a:blip xmlns:r="http://schemas.openxmlformats.org/officeDocument/2006/relationships" r:embed="rId6" cstate="print"/>
        <a:stretch>
          <a:fillRect/>
        </a:stretch>
      </xdr:blipFill>
      <xdr:spPr>
        <a:xfrm>
          <a:off x="3467100" y="11525250"/>
          <a:ext cx="3084582" cy="3599695"/>
        </a:xfrm>
        <a:prstGeom prst="rect">
          <a:avLst/>
        </a:prstGeom>
      </xdr:spPr>
    </xdr:pic>
    <xdr:clientData/>
  </xdr:twoCellAnchor>
  <xdr:twoCellAnchor editAs="oneCell">
    <xdr:from>
      <xdr:col>2</xdr:col>
      <xdr:colOff>847725</xdr:colOff>
      <xdr:row>0</xdr:row>
      <xdr:rowOff>28575</xdr:rowOff>
    </xdr:from>
    <xdr:to>
      <xdr:col>5</xdr:col>
      <xdr:colOff>1047750</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657475" y="28575"/>
          <a:ext cx="5343525" cy="1565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1600200</xdr:colOff>
      <xdr:row>42</xdr:row>
      <xdr:rowOff>0</xdr:rowOff>
    </xdr:from>
    <xdr:to>
      <xdr:col>5</xdr:col>
      <xdr:colOff>425204</xdr:colOff>
      <xdr:row>60</xdr:row>
      <xdr:rowOff>132595</xdr:rowOff>
    </xdr:to>
    <xdr:pic>
      <xdr:nvPicPr>
        <xdr:cNvPr id="9" name="Picture 8" descr="CFS_Elevation-BOMh.png"/>
        <xdr:cNvPicPr>
          <a:picLocks noChangeAspect="1"/>
        </xdr:cNvPicPr>
      </xdr:nvPicPr>
      <xdr:blipFill>
        <a:blip xmlns:r="http://schemas.openxmlformats.org/officeDocument/2006/relationships" r:embed="rId6" cstate="print"/>
        <a:stretch>
          <a:fillRect/>
        </a:stretch>
      </xdr:blipFill>
      <xdr:spPr>
        <a:xfrm>
          <a:off x="3333750" y="11953875"/>
          <a:ext cx="3739904" cy="3599695"/>
        </a:xfrm>
        <a:prstGeom prst="rect">
          <a:avLst/>
        </a:prstGeom>
      </xdr:spPr>
    </xdr:pic>
    <xdr:clientData/>
  </xdr:twoCellAnchor>
  <xdr:twoCellAnchor editAs="oneCell">
    <xdr:from>
      <xdr:col>2</xdr:col>
      <xdr:colOff>866775</xdr:colOff>
      <xdr:row>0</xdr:row>
      <xdr:rowOff>28575</xdr:rowOff>
    </xdr:from>
    <xdr:to>
      <xdr:col>5</xdr:col>
      <xdr:colOff>1066800</xdr:colOff>
      <xdr:row>1</xdr:row>
      <xdr:rowOff>1384528</xdr:rowOff>
    </xdr:to>
    <xdr:pic>
      <xdr:nvPicPr>
        <xdr:cNvPr id="10" name="Picture 9" descr="Quiklok_Logo_Colour_Lrg.jpg"/>
        <xdr:cNvPicPr>
          <a:picLocks noChangeAspect="1"/>
        </xdr:cNvPicPr>
      </xdr:nvPicPr>
      <xdr:blipFill>
        <a:blip xmlns:r="http://schemas.openxmlformats.org/officeDocument/2006/relationships" r:embed="rId7" cstate="print"/>
        <a:stretch>
          <a:fillRect/>
        </a:stretch>
      </xdr:blipFill>
      <xdr:spPr>
        <a:xfrm>
          <a:off x="2676525" y="28575"/>
          <a:ext cx="5343525" cy="1565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1609725</xdr:colOff>
      <xdr:row>43</xdr:row>
      <xdr:rowOff>0</xdr:rowOff>
    </xdr:from>
    <xdr:to>
      <xdr:col>5</xdr:col>
      <xdr:colOff>434729</xdr:colOff>
      <xdr:row>61</xdr:row>
      <xdr:rowOff>132595</xdr:rowOff>
    </xdr:to>
    <xdr:pic>
      <xdr:nvPicPr>
        <xdr:cNvPr id="12" name="Picture 11" descr="CFS_Elevation-BOMi.png"/>
        <xdr:cNvPicPr>
          <a:picLocks noChangeAspect="1"/>
        </xdr:cNvPicPr>
      </xdr:nvPicPr>
      <xdr:blipFill>
        <a:blip xmlns:r="http://schemas.openxmlformats.org/officeDocument/2006/relationships" r:embed="rId6" cstate="print"/>
        <a:stretch>
          <a:fillRect/>
        </a:stretch>
      </xdr:blipFill>
      <xdr:spPr>
        <a:xfrm>
          <a:off x="3343275" y="12172950"/>
          <a:ext cx="3739904" cy="3599695"/>
        </a:xfrm>
        <a:prstGeom prst="rect">
          <a:avLst/>
        </a:prstGeom>
      </xdr:spPr>
    </xdr:pic>
    <xdr:clientData/>
  </xdr:twoCellAnchor>
  <xdr:twoCellAnchor editAs="oneCell">
    <xdr:from>
      <xdr:col>2</xdr:col>
      <xdr:colOff>866775</xdr:colOff>
      <xdr:row>0</xdr:row>
      <xdr:rowOff>28575</xdr:rowOff>
    </xdr:from>
    <xdr:to>
      <xdr:col>5</xdr:col>
      <xdr:colOff>1066800</xdr:colOff>
      <xdr:row>1</xdr:row>
      <xdr:rowOff>1384528</xdr:rowOff>
    </xdr:to>
    <xdr:pic>
      <xdr:nvPicPr>
        <xdr:cNvPr id="9" name="Picture 8" descr="Quiklok_Logo_Colour_Lrg.jpg"/>
        <xdr:cNvPicPr>
          <a:picLocks noChangeAspect="1"/>
        </xdr:cNvPicPr>
      </xdr:nvPicPr>
      <xdr:blipFill>
        <a:blip xmlns:r="http://schemas.openxmlformats.org/officeDocument/2006/relationships" r:embed="rId7" cstate="print"/>
        <a:stretch>
          <a:fillRect/>
        </a:stretch>
      </xdr:blipFill>
      <xdr:spPr>
        <a:xfrm>
          <a:off x="2676525" y="28575"/>
          <a:ext cx="5343525" cy="1565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52425"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09550"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52400"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52400"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95250" y="523875"/>
          <a:ext cx="2431757"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009775" y="0"/>
          <a:ext cx="1362155" cy="161925"/>
        </a:xfrm>
        <a:prstGeom prst="rect">
          <a:avLst/>
        </a:prstGeom>
        <a:noFill/>
        <a:ln w="9525">
          <a:noFill/>
          <a:miter lim="800000"/>
          <a:headEnd/>
          <a:tailEnd/>
        </a:ln>
      </xdr:spPr>
    </xdr:sp>
    <xdr:clientData/>
  </xdr:twoCellAnchor>
  <xdr:twoCellAnchor editAs="oneCell">
    <xdr:from>
      <xdr:col>2</xdr:col>
      <xdr:colOff>847725</xdr:colOff>
      <xdr:row>35</xdr:row>
      <xdr:rowOff>0</xdr:rowOff>
    </xdr:from>
    <xdr:to>
      <xdr:col>5</xdr:col>
      <xdr:colOff>510930</xdr:colOff>
      <xdr:row>49</xdr:row>
      <xdr:rowOff>142875</xdr:rowOff>
    </xdr:to>
    <xdr:pic>
      <xdr:nvPicPr>
        <xdr:cNvPr id="9" name="Picture 8" descr="CFS_Elevation-BOMj.png"/>
        <xdr:cNvPicPr>
          <a:picLocks noChangeAspect="1"/>
        </xdr:cNvPicPr>
      </xdr:nvPicPr>
      <xdr:blipFill>
        <a:blip xmlns:r="http://schemas.openxmlformats.org/officeDocument/2006/relationships" r:embed="rId6" cstate="print"/>
        <a:srcRect b="10924"/>
        <a:stretch>
          <a:fillRect/>
        </a:stretch>
      </xdr:blipFill>
      <xdr:spPr>
        <a:xfrm>
          <a:off x="2828925" y="10058400"/>
          <a:ext cx="5292480" cy="2886075"/>
        </a:xfrm>
        <a:prstGeom prst="rect">
          <a:avLst/>
        </a:prstGeom>
      </xdr:spPr>
    </xdr:pic>
    <xdr:clientData/>
  </xdr:twoCellAnchor>
  <xdr:twoCellAnchor editAs="oneCell">
    <xdr:from>
      <xdr:col>2</xdr:col>
      <xdr:colOff>885825</xdr:colOff>
      <xdr:row>0</xdr:row>
      <xdr:rowOff>28575</xdr:rowOff>
    </xdr:from>
    <xdr:to>
      <xdr:col>5</xdr:col>
      <xdr:colOff>1085850</xdr:colOff>
      <xdr:row>1</xdr:row>
      <xdr:rowOff>1384528</xdr:rowOff>
    </xdr:to>
    <xdr:pic>
      <xdr:nvPicPr>
        <xdr:cNvPr id="11" name="Picture 10" descr="Quiklok_Logo_Colour_Lrg.jpg"/>
        <xdr:cNvPicPr>
          <a:picLocks noChangeAspect="1"/>
        </xdr:cNvPicPr>
      </xdr:nvPicPr>
      <xdr:blipFill>
        <a:blip xmlns:r="http://schemas.openxmlformats.org/officeDocument/2006/relationships" r:embed="rId7" cstate="print"/>
        <a:stretch>
          <a:fillRect/>
        </a:stretch>
      </xdr:blipFill>
      <xdr:spPr>
        <a:xfrm>
          <a:off x="2695575" y="28575"/>
          <a:ext cx="5343525" cy="1565503"/>
        </a:xfrm>
        <a:prstGeom prst="rect">
          <a:avLst/>
        </a:prstGeom>
      </xdr:spPr>
    </xdr:pic>
    <xdr:clientData/>
  </xdr:twoCellAnchor>
  <xdr:twoCellAnchor editAs="oneCell">
    <xdr:from>
      <xdr:col>2</xdr:col>
      <xdr:colOff>0</xdr:colOff>
      <xdr:row>50</xdr:row>
      <xdr:rowOff>0</xdr:rowOff>
    </xdr:from>
    <xdr:to>
      <xdr:col>6</xdr:col>
      <xdr:colOff>9525</xdr:colOff>
      <xdr:row>52</xdr:row>
      <xdr:rowOff>95250</xdr:rowOff>
    </xdr:to>
    <xdr:pic>
      <xdr:nvPicPr>
        <xdr:cNvPr id="12" name="Picture 2"/>
        <xdr:cNvPicPr>
          <a:picLocks noChangeAspect="1" noChangeArrowheads="1"/>
        </xdr:cNvPicPr>
      </xdr:nvPicPr>
      <xdr:blipFill>
        <a:blip xmlns:r="http://schemas.openxmlformats.org/officeDocument/2006/relationships" r:embed="rId8" cstate="print"/>
        <a:srcRect/>
        <a:stretch>
          <a:fillRect/>
        </a:stretch>
      </xdr:blipFill>
      <xdr:spPr bwMode="auto">
        <a:xfrm>
          <a:off x="1981200" y="12992100"/>
          <a:ext cx="7515225" cy="476250"/>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61950"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19075"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61925"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61925"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104775" y="523875"/>
          <a:ext cx="2669882"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257425" y="0"/>
          <a:ext cx="1600280" cy="161925"/>
        </a:xfrm>
        <a:prstGeom prst="rect">
          <a:avLst/>
        </a:prstGeom>
        <a:noFill/>
        <a:ln w="9525">
          <a:noFill/>
          <a:miter lim="800000"/>
          <a:headEnd/>
          <a:tailEnd/>
        </a:ln>
      </xdr:spPr>
    </xdr:sp>
    <xdr:clientData/>
  </xdr:twoCellAnchor>
  <xdr:twoCellAnchor editAs="oneCell">
    <xdr:from>
      <xdr:col>2</xdr:col>
      <xdr:colOff>847725</xdr:colOff>
      <xdr:row>35</xdr:row>
      <xdr:rowOff>0</xdr:rowOff>
    </xdr:from>
    <xdr:to>
      <xdr:col>5</xdr:col>
      <xdr:colOff>510930</xdr:colOff>
      <xdr:row>49</xdr:row>
      <xdr:rowOff>142875</xdr:rowOff>
    </xdr:to>
    <xdr:pic>
      <xdr:nvPicPr>
        <xdr:cNvPr id="8" name="Picture 7" descr="CFS_Elevation-BOMj.png"/>
        <xdr:cNvPicPr>
          <a:picLocks noChangeAspect="1"/>
        </xdr:cNvPicPr>
      </xdr:nvPicPr>
      <xdr:blipFill>
        <a:blip xmlns:r="http://schemas.openxmlformats.org/officeDocument/2006/relationships" r:embed="rId6" cstate="print"/>
        <a:srcRect b="10924"/>
        <a:stretch>
          <a:fillRect/>
        </a:stretch>
      </xdr:blipFill>
      <xdr:spPr>
        <a:xfrm>
          <a:off x="2828925" y="10058400"/>
          <a:ext cx="5292480" cy="2886075"/>
        </a:xfrm>
        <a:prstGeom prst="rect">
          <a:avLst/>
        </a:prstGeom>
      </xdr:spPr>
    </xdr:pic>
    <xdr:clientData/>
  </xdr:twoCellAnchor>
  <xdr:twoCellAnchor editAs="oneCell">
    <xdr:from>
      <xdr:col>2</xdr:col>
      <xdr:colOff>885825</xdr:colOff>
      <xdr:row>0</xdr:row>
      <xdr:rowOff>28575</xdr:rowOff>
    </xdr:from>
    <xdr:to>
      <xdr:col>5</xdr:col>
      <xdr:colOff>1085850</xdr:colOff>
      <xdr:row>1</xdr:row>
      <xdr:rowOff>1384528</xdr:rowOff>
    </xdr:to>
    <xdr:pic>
      <xdr:nvPicPr>
        <xdr:cNvPr id="9" name="Picture 8" descr="Quiklok_Logo_Colour_Lrg.jpg"/>
        <xdr:cNvPicPr>
          <a:picLocks noChangeAspect="1"/>
        </xdr:cNvPicPr>
      </xdr:nvPicPr>
      <xdr:blipFill>
        <a:blip xmlns:r="http://schemas.openxmlformats.org/officeDocument/2006/relationships" r:embed="rId7" cstate="print"/>
        <a:stretch>
          <a:fillRect/>
        </a:stretch>
      </xdr:blipFill>
      <xdr:spPr>
        <a:xfrm>
          <a:off x="2867025" y="28575"/>
          <a:ext cx="5829300" cy="1565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257175</xdr:colOff>
      <xdr:row>5</xdr:row>
      <xdr:rowOff>0</xdr:rowOff>
    </xdr:from>
    <xdr:to>
      <xdr:col>1</xdr:col>
      <xdr:colOff>609493</xdr:colOff>
      <xdr:row>5</xdr:row>
      <xdr:rowOff>46</xdr:rowOff>
    </xdr:to>
    <xdr:pic>
      <xdr:nvPicPr>
        <xdr:cNvPr id="2" name="Picture 1"/>
        <xdr:cNvPicPr>
          <a:picLocks noChangeAspect="1" noChangeArrowheads="1"/>
        </xdr:cNvPicPr>
      </xdr:nvPicPr>
      <xdr:blipFill>
        <a:blip xmlns:r="http://schemas.openxmlformats.org/officeDocument/2006/relationships" r:embed="rId1" cstate="print"/>
        <a:stretch>
          <a:fillRect/>
        </a:stretch>
      </xdr:blipFill>
      <xdr:spPr bwMode="auto">
        <a:xfrm>
          <a:off x="361950" y="3581400"/>
          <a:ext cx="352318" cy="46"/>
        </a:xfrm>
        <a:prstGeom prst="rect">
          <a:avLst/>
        </a:prstGeom>
        <a:noFill/>
        <a:ln>
          <a:noFill/>
        </a:ln>
      </xdr:spPr>
    </xdr:pic>
    <xdr:clientData/>
  </xdr:twoCellAnchor>
  <xdr:twoCellAnchor editAs="oneCell">
    <xdr:from>
      <xdr:col>1</xdr:col>
      <xdr:colOff>114300</xdr:colOff>
      <xdr:row>5</xdr:row>
      <xdr:rowOff>0</xdr:rowOff>
    </xdr:from>
    <xdr:to>
      <xdr:col>1</xdr:col>
      <xdr:colOff>609445</xdr:colOff>
      <xdr:row>5</xdr:row>
      <xdr:rowOff>58</xdr:rowOff>
    </xdr:to>
    <xdr:pic>
      <xdr:nvPicPr>
        <xdr:cNvPr id="3" name="Picture 2"/>
        <xdr:cNvPicPr>
          <a:picLocks noChangeAspect="1" noChangeArrowheads="1"/>
        </xdr:cNvPicPr>
      </xdr:nvPicPr>
      <xdr:blipFill>
        <a:blip xmlns:r="http://schemas.openxmlformats.org/officeDocument/2006/relationships" r:embed="rId2" cstate="print"/>
        <a:stretch>
          <a:fillRect/>
        </a:stretch>
      </xdr:blipFill>
      <xdr:spPr bwMode="auto">
        <a:xfrm>
          <a:off x="219075" y="3581400"/>
          <a:ext cx="495145" cy="58"/>
        </a:xfrm>
        <a:prstGeom prst="rect">
          <a:avLst/>
        </a:prstGeom>
        <a:noFill/>
        <a:ln>
          <a:noFill/>
        </a:ln>
      </xdr:spPr>
    </xdr:pic>
    <xdr:clientData/>
  </xdr:twoCellAnchor>
  <xdr:twoCellAnchor editAs="oneCell">
    <xdr:from>
      <xdr:col>1</xdr:col>
      <xdr:colOff>57150</xdr:colOff>
      <xdr:row>5</xdr:row>
      <xdr:rowOff>0</xdr:rowOff>
    </xdr:from>
    <xdr:to>
      <xdr:col>1</xdr:col>
      <xdr:colOff>609600</xdr:colOff>
      <xdr:row>5</xdr:row>
      <xdr:rowOff>608</xdr:rowOff>
    </xdr:to>
    <xdr:pic>
      <xdr:nvPicPr>
        <xdr:cNvPr id="4" name="Picture 3"/>
        <xdr:cNvPicPr>
          <a:picLocks noChangeAspect="1" noChangeArrowheads="1"/>
        </xdr:cNvPicPr>
      </xdr:nvPicPr>
      <xdr:blipFill>
        <a:blip xmlns:r="http://schemas.openxmlformats.org/officeDocument/2006/relationships" r:embed="rId3" cstate="print"/>
        <a:stretch>
          <a:fillRect/>
        </a:stretch>
      </xdr:blipFill>
      <xdr:spPr bwMode="auto">
        <a:xfrm>
          <a:off x="161925" y="3581400"/>
          <a:ext cx="552450" cy="608"/>
        </a:xfrm>
        <a:prstGeom prst="rect">
          <a:avLst/>
        </a:prstGeom>
        <a:noFill/>
        <a:ln>
          <a:noFill/>
        </a:ln>
      </xdr:spPr>
    </xdr:pic>
    <xdr:clientData/>
  </xdr:twoCellAnchor>
  <xdr:twoCellAnchor editAs="oneCell">
    <xdr:from>
      <xdr:col>1</xdr:col>
      <xdr:colOff>57150</xdr:colOff>
      <xdr:row>5</xdr:row>
      <xdr:rowOff>0</xdr:rowOff>
    </xdr:from>
    <xdr:to>
      <xdr:col>1</xdr:col>
      <xdr:colOff>609447</xdr:colOff>
      <xdr:row>5</xdr:row>
      <xdr:rowOff>45</xdr:rowOff>
    </xdr:to>
    <xdr:pic>
      <xdr:nvPicPr>
        <xdr:cNvPr id="5" name="Picture 4"/>
        <xdr:cNvPicPr>
          <a:picLocks noChangeAspect="1" noChangeArrowheads="1"/>
        </xdr:cNvPicPr>
      </xdr:nvPicPr>
      <xdr:blipFill>
        <a:blip xmlns:r="http://schemas.openxmlformats.org/officeDocument/2006/relationships" r:embed="rId4" cstate="print"/>
        <a:stretch>
          <a:fillRect/>
        </a:stretch>
      </xdr:blipFill>
      <xdr:spPr bwMode="auto">
        <a:xfrm>
          <a:off x="161925" y="3581400"/>
          <a:ext cx="552297" cy="45"/>
        </a:xfrm>
        <a:prstGeom prst="rect">
          <a:avLst/>
        </a:prstGeom>
        <a:noFill/>
        <a:ln>
          <a:noFill/>
        </a:ln>
      </xdr:spPr>
    </xdr:pic>
    <xdr:clientData/>
  </xdr:twoCellAnchor>
  <xdr:twoCellAnchor editAs="oneCell">
    <xdr:from>
      <xdr:col>0</xdr:col>
      <xdr:colOff>1190625</xdr:colOff>
      <xdr:row>1</xdr:row>
      <xdr:rowOff>314325</xdr:rowOff>
    </xdr:from>
    <xdr:to>
      <xdr:col>2</xdr:col>
      <xdr:colOff>793457</xdr:colOff>
      <xdr:row>1</xdr:row>
      <xdr:rowOff>314325</xdr:rowOff>
    </xdr:to>
    <xdr:pic>
      <xdr:nvPicPr>
        <xdr:cNvPr id="6" name="Picture 10" descr="Elegance_logo_colour_30cm.jpg"/>
        <xdr:cNvPicPr>
          <a:picLocks noChangeAspect="1"/>
        </xdr:cNvPicPr>
      </xdr:nvPicPr>
      <xdr:blipFill>
        <a:blip xmlns:r="http://schemas.openxmlformats.org/officeDocument/2006/relationships" r:embed="rId5"/>
        <a:srcRect/>
        <a:stretch>
          <a:fillRect/>
        </a:stretch>
      </xdr:blipFill>
      <xdr:spPr bwMode="auto">
        <a:xfrm>
          <a:off x="104775" y="523875"/>
          <a:ext cx="2669882" cy="0"/>
        </a:xfrm>
        <a:prstGeom prst="rect">
          <a:avLst/>
        </a:prstGeom>
        <a:noFill/>
        <a:ln w="9525">
          <a:noFill/>
          <a:miter lim="800000"/>
          <a:headEnd/>
          <a:tailEnd/>
        </a:ln>
      </xdr:spPr>
    </xdr:pic>
    <xdr:clientData/>
  </xdr:twoCellAnchor>
  <xdr:twoCellAnchor editAs="oneCell">
    <xdr:from>
      <xdr:col>2</xdr:col>
      <xdr:colOff>276225</xdr:colOff>
      <xdr:row>0</xdr:row>
      <xdr:rowOff>0</xdr:rowOff>
    </xdr:from>
    <xdr:to>
      <xdr:col>3</xdr:col>
      <xdr:colOff>80</xdr:colOff>
      <xdr:row>0</xdr:row>
      <xdr:rowOff>161925</xdr:rowOff>
    </xdr:to>
    <xdr:sp macro="" textlink="">
      <xdr:nvSpPr>
        <xdr:cNvPr id="7" name="AutoShape 2" descr="q:\pbs\catqry\images\IPG_TRADECENTRE_MONT"/>
        <xdr:cNvSpPr>
          <a:spLocks noChangeAspect="1" noChangeArrowheads="1"/>
        </xdr:cNvSpPr>
      </xdr:nvSpPr>
      <xdr:spPr bwMode="auto">
        <a:xfrm>
          <a:off x="2257425" y="0"/>
          <a:ext cx="1600280" cy="161925"/>
        </a:xfrm>
        <a:prstGeom prst="rect">
          <a:avLst/>
        </a:prstGeom>
        <a:noFill/>
        <a:ln w="9525">
          <a:noFill/>
          <a:miter lim="800000"/>
          <a:headEnd/>
          <a:tailEnd/>
        </a:ln>
      </xdr:spPr>
    </xdr:sp>
    <xdr:clientData/>
  </xdr:twoCellAnchor>
  <xdr:twoCellAnchor editAs="oneCell">
    <xdr:from>
      <xdr:col>2</xdr:col>
      <xdr:colOff>847725</xdr:colOff>
      <xdr:row>35</xdr:row>
      <xdr:rowOff>0</xdr:rowOff>
    </xdr:from>
    <xdr:to>
      <xdr:col>5</xdr:col>
      <xdr:colOff>510930</xdr:colOff>
      <xdr:row>51</xdr:row>
      <xdr:rowOff>115831</xdr:rowOff>
    </xdr:to>
    <xdr:pic>
      <xdr:nvPicPr>
        <xdr:cNvPr id="8" name="Picture 7" descr="CFS_Elevation-BOMj.png"/>
        <xdr:cNvPicPr>
          <a:picLocks noChangeAspect="1"/>
        </xdr:cNvPicPr>
      </xdr:nvPicPr>
      <xdr:blipFill>
        <a:blip xmlns:r="http://schemas.openxmlformats.org/officeDocument/2006/relationships" r:embed="rId6" cstate="print"/>
        <a:stretch>
          <a:fillRect/>
        </a:stretch>
      </xdr:blipFill>
      <xdr:spPr>
        <a:xfrm>
          <a:off x="2828925" y="10058400"/>
          <a:ext cx="5292480" cy="3240031"/>
        </a:xfrm>
        <a:prstGeom prst="rect">
          <a:avLst/>
        </a:prstGeom>
      </xdr:spPr>
    </xdr:pic>
    <xdr:clientData/>
  </xdr:twoCellAnchor>
  <xdr:twoCellAnchor editAs="oneCell">
    <xdr:from>
      <xdr:col>2</xdr:col>
      <xdr:colOff>885825</xdr:colOff>
      <xdr:row>0</xdr:row>
      <xdr:rowOff>28575</xdr:rowOff>
    </xdr:from>
    <xdr:to>
      <xdr:col>5</xdr:col>
      <xdr:colOff>1085850</xdr:colOff>
      <xdr:row>1</xdr:row>
      <xdr:rowOff>1384528</xdr:rowOff>
    </xdr:to>
    <xdr:pic>
      <xdr:nvPicPr>
        <xdr:cNvPr id="9" name="Picture 8" descr="Quiklok_Logo_Colour_Lrg.jpg"/>
        <xdr:cNvPicPr>
          <a:picLocks noChangeAspect="1"/>
        </xdr:cNvPicPr>
      </xdr:nvPicPr>
      <xdr:blipFill>
        <a:blip xmlns:r="http://schemas.openxmlformats.org/officeDocument/2006/relationships" r:embed="rId7" cstate="print"/>
        <a:stretch>
          <a:fillRect/>
        </a:stretch>
      </xdr:blipFill>
      <xdr:spPr>
        <a:xfrm>
          <a:off x="2867025" y="28575"/>
          <a:ext cx="5829300" cy="15655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1%20Order%20Forms%20with%20BO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1 Extrusion"/>
      <sheetName val="F1 Hardware"/>
      <sheetName val="F1 Hardware (2)"/>
    </sheetNames>
    <sheetDataSet>
      <sheetData sheetId="0" refreshError="1"/>
      <sheetData sheetId="1" refreshError="1"/>
      <sheetData sheetId="2">
        <row r="7">
          <cell r="M7">
            <v>10</v>
          </cell>
          <cell r="O7">
            <v>38</v>
          </cell>
        </row>
        <row r="8">
          <cell r="M8">
            <v>20</v>
          </cell>
          <cell r="O8">
            <v>65</v>
          </cell>
        </row>
        <row r="10">
          <cell r="O10">
            <v>100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alesep@capral.com.au"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alesep@capral.com.au"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J64"/>
  <sheetViews>
    <sheetView showGridLines="0" tabSelected="1" showWhiteSpace="0" view="pageLayout" zoomScaleNormal="100" zoomScaleSheetLayoutView="100" workbookViewId="0">
      <selection activeCell="G54" sqref="G54"/>
    </sheetView>
  </sheetViews>
  <sheetFormatPr defaultColWidth="9.125" defaultRowHeight="15"/>
  <cols>
    <col min="1" max="1" width="5.375" style="46" customWidth="1"/>
    <col min="2" max="2" width="14.625" style="7" customWidth="1"/>
    <col min="3" max="3" width="14.625" style="3" customWidth="1"/>
    <col min="4" max="7" width="14.625" style="4" customWidth="1"/>
    <col min="8" max="8" width="14.625" style="3" customWidth="1"/>
    <col min="9" max="10" width="14.625" style="46" customWidth="1"/>
    <col min="11" max="16" width="49.375" style="46" customWidth="1"/>
    <col min="17" max="16384" width="9.125" style="46"/>
  </cols>
  <sheetData>
    <row r="1" spans="1:10" ht="37.5" customHeight="1" thickTop="1" thickBot="1">
      <c r="A1" s="183"/>
      <c r="B1" s="184"/>
      <c r="C1" s="184"/>
      <c r="D1" s="184"/>
      <c r="E1" s="184"/>
      <c r="F1" s="184"/>
      <c r="G1" s="184"/>
      <c r="H1" s="184"/>
      <c r="I1" s="184"/>
      <c r="J1" s="185"/>
    </row>
    <row r="2" spans="1:10" ht="136.5" customHeight="1" thickBot="1">
      <c r="A2" s="186"/>
      <c r="B2" s="187"/>
      <c r="C2" s="187"/>
      <c r="D2" s="187"/>
      <c r="E2" s="187"/>
      <c r="F2" s="187"/>
      <c r="G2" s="187"/>
      <c r="H2" s="187"/>
      <c r="I2" s="187"/>
      <c r="J2" s="188"/>
    </row>
    <row r="3" spans="1:10" ht="21" thickBot="1">
      <c r="A3" s="189" t="s">
        <v>95</v>
      </c>
      <c r="B3" s="190"/>
      <c r="C3" s="190"/>
      <c r="D3" s="190"/>
      <c r="E3" s="190"/>
      <c r="F3" s="190"/>
      <c r="G3" s="190"/>
      <c r="H3" s="190"/>
      <c r="I3" s="190"/>
      <c r="J3" s="191"/>
    </row>
    <row r="4" spans="1:10" ht="15.75" thickBot="1">
      <c r="A4" s="193" t="s">
        <v>96</v>
      </c>
      <c r="B4" s="192"/>
      <c r="C4" s="192" t="s">
        <v>97</v>
      </c>
      <c r="D4" s="192" t="s">
        <v>98</v>
      </c>
      <c r="E4" s="192" t="s">
        <v>99</v>
      </c>
      <c r="F4" s="192" t="s">
        <v>100</v>
      </c>
      <c r="G4" s="192" t="s">
        <v>101</v>
      </c>
      <c r="H4" s="192" t="s">
        <v>102</v>
      </c>
      <c r="I4" s="192" t="s">
        <v>103</v>
      </c>
      <c r="J4" s="194" t="s">
        <v>104</v>
      </c>
    </row>
    <row r="5" spans="1:10" ht="15.75" thickBot="1">
      <c r="A5" s="193"/>
      <c r="B5" s="192"/>
      <c r="C5" s="192"/>
      <c r="D5" s="192"/>
      <c r="E5" s="192"/>
      <c r="F5" s="192"/>
      <c r="G5" s="192"/>
      <c r="H5" s="192"/>
      <c r="I5" s="192"/>
      <c r="J5" s="194"/>
    </row>
    <row r="6" spans="1:10" ht="15.75" thickBot="1">
      <c r="A6" s="193"/>
      <c r="B6" s="192"/>
      <c r="C6" s="192"/>
      <c r="D6" s="192"/>
      <c r="E6" s="192"/>
      <c r="F6" s="192"/>
      <c r="G6" s="192"/>
      <c r="H6" s="192"/>
      <c r="I6" s="192"/>
      <c r="J6" s="194"/>
    </row>
    <row r="7" spans="1:10" ht="15.75" thickBot="1">
      <c r="A7" s="193"/>
      <c r="B7" s="192"/>
      <c r="C7" s="192"/>
      <c r="D7" s="192"/>
      <c r="E7" s="192"/>
      <c r="F7" s="192"/>
      <c r="G7" s="192"/>
      <c r="H7" s="192"/>
      <c r="I7" s="192"/>
      <c r="J7" s="194"/>
    </row>
    <row r="8" spans="1:10" ht="15.75" thickBot="1">
      <c r="A8" s="193"/>
      <c r="B8" s="192"/>
      <c r="C8" s="192"/>
      <c r="D8" s="192"/>
      <c r="E8" s="192"/>
      <c r="F8" s="192"/>
      <c r="G8" s="192"/>
      <c r="H8" s="192"/>
      <c r="I8" s="192"/>
      <c r="J8" s="194"/>
    </row>
    <row r="9" spans="1:10" ht="15.75" thickBot="1">
      <c r="A9" s="193"/>
      <c r="B9" s="192"/>
      <c r="C9" s="192"/>
      <c r="D9" s="192"/>
      <c r="E9" s="192"/>
      <c r="F9" s="192"/>
      <c r="G9" s="192"/>
      <c r="H9" s="192"/>
      <c r="I9" s="192"/>
      <c r="J9" s="194"/>
    </row>
    <row r="10" spans="1:10" ht="17.25" thickBot="1">
      <c r="A10" s="14">
        <v>1</v>
      </c>
      <c r="B10" s="15" t="s">
        <v>149</v>
      </c>
      <c r="C10" s="16"/>
      <c r="D10" s="16"/>
      <c r="E10" s="16"/>
      <c r="F10" s="16"/>
      <c r="G10" s="16"/>
      <c r="H10" s="16"/>
      <c r="I10" s="16"/>
      <c r="J10" s="17"/>
    </row>
    <row r="11" spans="1:10" ht="17.25" thickBot="1">
      <c r="A11" s="14">
        <v>2</v>
      </c>
      <c r="B11" s="15" t="s">
        <v>150</v>
      </c>
      <c r="C11" s="16"/>
      <c r="D11" s="16"/>
      <c r="E11" s="16"/>
      <c r="F11" s="16"/>
      <c r="G11" s="16"/>
      <c r="H11" s="16"/>
      <c r="I11" s="16"/>
      <c r="J11" s="17"/>
    </row>
    <row r="12" spans="1:10" ht="17.25" thickBot="1">
      <c r="A12" s="14">
        <v>3</v>
      </c>
      <c r="B12" s="15" t="s">
        <v>105</v>
      </c>
      <c r="C12" s="23"/>
      <c r="D12" s="18"/>
      <c r="E12" s="24"/>
      <c r="F12" s="16"/>
      <c r="G12" s="24"/>
      <c r="H12" s="24"/>
      <c r="I12" s="16"/>
      <c r="J12" s="17"/>
    </row>
    <row r="13" spans="1:10" ht="17.25" thickBot="1">
      <c r="A13" s="14">
        <v>4</v>
      </c>
      <c r="B13" s="15" t="s">
        <v>106</v>
      </c>
      <c r="C13" s="23"/>
      <c r="D13" s="18"/>
      <c r="E13" s="24"/>
      <c r="F13" s="24"/>
      <c r="G13" s="24"/>
      <c r="H13" s="24"/>
      <c r="I13" s="16"/>
      <c r="J13" s="27"/>
    </row>
    <row r="14" spans="1:10" ht="17.25" thickBot="1">
      <c r="A14" s="14">
        <v>5</v>
      </c>
      <c r="B14" s="15" t="s">
        <v>107</v>
      </c>
      <c r="C14" s="23"/>
      <c r="D14" s="18"/>
      <c r="E14" s="24"/>
      <c r="F14" s="24"/>
      <c r="G14" s="24"/>
      <c r="H14" s="24"/>
      <c r="I14" s="24"/>
      <c r="J14" s="17"/>
    </row>
    <row r="15" spans="1:10" ht="17.25" thickBot="1">
      <c r="A15" s="14">
        <v>6</v>
      </c>
      <c r="B15" s="15" t="s">
        <v>108</v>
      </c>
      <c r="C15" s="23"/>
      <c r="D15" s="23"/>
      <c r="E15" s="24"/>
      <c r="F15" s="24"/>
      <c r="G15" s="24"/>
      <c r="H15" s="24"/>
      <c r="I15" s="16"/>
      <c r="J15" s="27"/>
    </row>
    <row r="16" spans="1:10" ht="17.25" thickBot="1">
      <c r="A16" s="14">
        <v>7</v>
      </c>
      <c r="B16" s="15" t="s">
        <v>109</v>
      </c>
      <c r="C16" s="23"/>
      <c r="D16" s="23"/>
      <c r="E16" s="24"/>
      <c r="F16" s="24"/>
      <c r="G16" s="24"/>
      <c r="H16" s="24"/>
      <c r="I16" s="24"/>
      <c r="J16" s="17"/>
    </row>
    <row r="17" spans="1:10" ht="17.25" thickBot="1">
      <c r="A17" s="14">
        <v>8</v>
      </c>
      <c r="B17" s="15" t="s">
        <v>110</v>
      </c>
      <c r="C17" s="15"/>
      <c r="D17" s="18"/>
      <c r="E17" s="44"/>
      <c r="F17" s="24"/>
      <c r="G17" s="16"/>
      <c r="H17" s="24"/>
      <c r="I17" s="16"/>
      <c r="J17" s="27"/>
    </row>
    <row r="18" spans="1:10" ht="17.25" thickBot="1">
      <c r="A18" s="14">
        <v>9</v>
      </c>
      <c r="B18" s="15" t="s">
        <v>111</v>
      </c>
      <c r="C18" s="15"/>
      <c r="D18" s="18"/>
      <c r="E18" s="44"/>
      <c r="F18" s="24"/>
      <c r="G18" s="16"/>
      <c r="H18" s="24"/>
      <c r="I18" s="24"/>
      <c r="J18" s="17"/>
    </row>
    <row r="19" spans="1:10" ht="17.25" thickBot="1">
      <c r="A19" s="14">
        <v>10</v>
      </c>
      <c r="B19" s="15" t="s">
        <v>112</v>
      </c>
      <c r="C19" s="15"/>
      <c r="D19" s="23"/>
      <c r="E19" s="44"/>
      <c r="F19" s="24"/>
      <c r="G19" s="16"/>
      <c r="H19" s="24"/>
      <c r="I19" s="16"/>
      <c r="J19" s="27"/>
    </row>
    <row r="20" spans="1:10" ht="17.25" thickBot="1">
      <c r="A20" s="19">
        <v>11</v>
      </c>
      <c r="B20" s="20" t="s">
        <v>113</v>
      </c>
      <c r="C20" s="20"/>
      <c r="D20" s="26"/>
      <c r="E20" s="45"/>
      <c r="F20" s="25"/>
      <c r="G20" s="21"/>
      <c r="H20" s="25"/>
      <c r="I20" s="25"/>
      <c r="J20" s="22"/>
    </row>
    <row r="21" spans="1:10" ht="18" thickTop="1" thickBot="1">
      <c r="A21" s="19">
        <v>12</v>
      </c>
      <c r="B21" s="20" t="s">
        <v>133</v>
      </c>
      <c r="C21" s="177" t="s">
        <v>191</v>
      </c>
      <c r="D21" s="178"/>
      <c r="E21" s="178"/>
      <c r="F21" s="178"/>
      <c r="G21" s="178"/>
      <c r="H21" s="178"/>
      <c r="I21" s="178"/>
      <c r="J21" s="179"/>
    </row>
    <row r="22" spans="1:10" ht="18" thickTop="1" thickBot="1">
      <c r="A22" s="19">
        <v>13</v>
      </c>
      <c r="B22" s="20" t="s">
        <v>189</v>
      </c>
      <c r="C22" s="177" t="s">
        <v>192</v>
      </c>
      <c r="D22" s="178"/>
      <c r="E22" s="178"/>
      <c r="F22" s="178"/>
      <c r="G22" s="178"/>
      <c r="H22" s="178"/>
      <c r="I22" s="178"/>
      <c r="J22" s="179"/>
    </row>
    <row r="23" spans="1:10" ht="18" thickTop="1" thickBot="1">
      <c r="A23" s="19">
        <v>14</v>
      </c>
      <c r="B23" s="20" t="s">
        <v>190</v>
      </c>
      <c r="C23" s="177" t="s">
        <v>134</v>
      </c>
      <c r="D23" s="178"/>
      <c r="E23" s="178"/>
      <c r="F23" s="178"/>
      <c r="G23" s="178"/>
      <c r="H23" s="178"/>
      <c r="I23" s="178"/>
      <c r="J23" s="179"/>
    </row>
    <row r="24" spans="1:10" ht="15.75" thickTop="1"/>
    <row r="27" spans="1:10">
      <c r="B27" s="122" t="s">
        <v>186</v>
      </c>
    </row>
    <row r="28" spans="1:10">
      <c r="B28" s="121" t="s">
        <v>185</v>
      </c>
    </row>
    <row r="29" spans="1:10">
      <c r="B29" s="181" t="s">
        <v>187</v>
      </c>
      <c r="C29" s="181"/>
      <c r="D29" s="181"/>
      <c r="E29" s="181"/>
      <c r="F29" s="181"/>
      <c r="G29" s="181"/>
      <c r="H29" s="181"/>
      <c r="I29" s="181"/>
    </row>
    <row r="30" spans="1:10">
      <c r="B30" s="181"/>
      <c r="C30" s="181"/>
      <c r="D30" s="181"/>
      <c r="E30" s="181"/>
      <c r="F30" s="181"/>
      <c r="G30" s="181"/>
      <c r="H30" s="181"/>
      <c r="I30" s="181"/>
    </row>
    <row r="32" spans="1:10">
      <c r="B32" s="180" t="s">
        <v>206</v>
      </c>
      <c r="C32" s="180"/>
      <c r="D32" s="180"/>
      <c r="E32" s="180"/>
      <c r="F32" s="180"/>
      <c r="G32" s="180"/>
      <c r="H32" s="180"/>
      <c r="I32" s="180"/>
    </row>
    <row r="33" spans="2:9">
      <c r="B33" s="180"/>
      <c r="C33" s="180"/>
      <c r="D33" s="180"/>
      <c r="E33" s="180"/>
      <c r="F33" s="180"/>
      <c r="G33" s="180"/>
      <c r="H33" s="180"/>
      <c r="I33" s="180"/>
    </row>
    <row r="34" spans="2:9">
      <c r="B34" s="180"/>
      <c r="C34" s="180"/>
      <c r="D34" s="180"/>
      <c r="E34" s="180"/>
      <c r="F34" s="180"/>
      <c r="G34" s="180"/>
      <c r="H34" s="180"/>
      <c r="I34" s="180"/>
    </row>
    <row r="35" spans="2:9">
      <c r="B35" s="180"/>
      <c r="C35" s="180"/>
      <c r="D35" s="180"/>
      <c r="E35" s="180"/>
      <c r="F35" s="180"/>
      <c r="G35" s="180"/>
      <c r="H35" s="180"/>
      <c r="I35" s="180"/>
    </row>
    <row r="36" spans="2:9">
      <c r="B36" s="180"/>
      <c r="C36" s="180"/>
      <c r="D36" s="180"/>
      <c r="E36" s="180"/>
      <c r="F36" s="180"/>
      <c r="G36" s="180"/>
      <c r="H36" s="180"/>
      <c r="I36" s="180"/>
    </row>
    <row r="38" spans="2:9">
      <c r="B38" s="122" t="s">
        <v>207</v>
      </c>
    </row>
    <row r="39" spans="2:9">
      <c r="B39" s="121" t="s">
        <v>208</v>
      </c>
    </row>
    <row r="40" spans="2:9">
      <c r="B40" s="121" t="s">
        <v>209</v>
      </c>
    </row>
    <row r="41" spans="2:9">
      <c r="B41" s="121" t="s">
        <v>211</v>
      </c>
    </row>
    <row r="51" spans="1:10" ht="15" customHeight="1"/>
    <row r="61" spans="1:10">
      <c r="A61" s="182" t="s">
        <v>160</v>
      </c>
      <c r="B61" s="182"/>
      <c r="C61" s="182"/>
      <c r="D61" s="182"/>
      <c r="E61" s="182"/>
      <c r="F61" s="182"/>
      <c r="G61" s="182"/>
      <c r="H61" s="182"/>
      <c r="I61" s="182"/>
      <c r="J61" s="182"/>
    </row>
    <row r="62" spans="1:10">
      <c r="A62" s="182"/>
      <c r="B62" s="182"/>
      <c r="C62" s="182"/>
      <c r="D62" s="182"/>
      <c r="E62" s="182"/>
      <c r="F62" s="182"/>
      <c r="G62" s="182"/>
      <c r="H62" s="182"/>
      <c r="I62" s="182"/>
      <c r="J62" s="182"/>
    </row>
    <row r="63" spans="1:10">
      <c r="A63" s="182"/>
      <c r="B63" s="182"/>
      <c r="C63" s="182"/>
      <c r="D63" s="182"/>
      <c r="E63" s="182"/>
      <c r="F63" s="182"/>
      <c r="G63" s="182"/>
      <c r="H63" s="182"/>
      <c r="I63" s="182"/>
      <c r="J63" s="182"/>
    </row>
    <row r="64" spans="1:10">
      <c r="A64" s="182"/>
      <c r="B64" s="182"/>
      <c r="C64" s="182"/>
      <c r="D64" s="182"/>
      <c r="E64" s="182"/>
      <c r="F64" s="182"/>
      <c r="G64" s="182"/>
      <c r="H64" s="182"/>
      <c r="I64" s="182"/>
      <c r="J64" s="182"/>
    </row>
  </sheetData>
  <mergeCells count="17">
    <mergeCell ref="A1:J2"/>
    <mergeCell ref="A3:J3"/>
    <mergeCell ref="C4:C9"/>
    <mergeCell ref="D4:D9"/>
    <mergeCell ref="I4:I9"/>
    <mergeCell ref="H4:H9"/>
    <mergeCell ref="G4:G9"/>
    <mergeCell ref="E4:E9"/>
    <mergeCell ref="F4:F9"/>
    <mergeCell ref="A4:B9"/>
    <mergeCell ref="J4:J9"/>
    <mergeCell ref="C21:J21"/>
    <mergeCell ref="B32:I36"/>
    <mergeCell ref="B29:I30"/>
    <mergeCell ref="A61:J64"/>
    <mergeCell ref="C23:J23"/>
    <mergeCell ref="C22:J22"/>
  </mergeCells>
  <printOptions horizontalCentered="1"/>
  <pageMargins left="0.31496062992125984" right="0.31496062992125984" top="0.31496062992125984" bottom="0.31496062992125984" header="0" footer="0"/>
  <pageSetup paperSize="9" scale="70" orientation="portrait" r:id="rId1"/>
  <headerFooter>
    <oddFooter>&amp;CVersion 1.2 - Jan' 2018&amp;R&amp;A</oddFooter>
  </headerFooter>
  <drawing r:id="rId2"/>
</worksheet>
</file>

<file path=xl/worksheets/sheet2.xml><?xml version="1.0" encoding="utf-8"?>
<worksheet xmlns="http://schemas.openxmlformats.org/spreadsheetml/2006/main" xmlns:r="http://schemas.openxmlformats.org/officeDocument/2006/relationships">
  <dimension ref="A1:J50"/>
  <sheetViews>
    <sheetView showGridLines="0" view="pageLayout" zoomScaleNormal="100" zoomScaleSheetLayoutView="100" workbookViewId="0">
      <selection activeCell="H53" sqref="H53"/>
    </sheetView>
  </sheetViews>
  <sheetFormatPr defaultRowHeight="15"/>
  <cols>
    <col min="1" max="1" width="20.875" customWidth="1"/>
    <col min="2" max="2" width="10.75" style="7" customWidth="1"/>
    <col min="3" max="3" width="36" style="3" customWidth="1"/>
    <col min="4" max="4" width="10.75" style="4" customWidth="1"/>
    <col min="5" max="5" width="8.125" style="4" bestFit="1" customWidth="1"/>
    <col min="6" max="7" width="4.625" style="4" customWidth="1"/>
    <col min="8" max="8" width="29.875" style="3" bestFit="1" customWidth="1"/>
    <col min="9" max="9" width="10.75" customWidth="1"/>
    <col min="11" max="16" width="49.375" customWidth="1"/>
  </cols>
  <sheetData>
    <row r="1" spans="1:9" ht="37.5" customHeight="1" thickTop="1">
      <c r="A1" s="200"/>
      <c r="B1" s="201"/>
      <c r="C1" s="201"/>
      <c r="D1" s="201"/>
      <c r="E1" s="201"/>
      <c r="F1" s="201"/>
      <c r="G1" s="201"/>
      <c r="H1" s="201"/>
      <c r="I1" s="202"/>
    </row>
    <row r="2" spans="1:9" ht="96.75" customHeight="1" thickBot="1">
      <c r="A2" s="203"/>
      <c r="B2" s="204"/>
      <c r="C2" s="204"/>
      <c r="D2" s="204"/>
      <c r="E2" s="204"/>
      <c r="F2" s="204"/>
      <c r="G2" s="204"/>
      <c r="H2" s="204"/>
      <c r="I2" s="205"/>
    </row>
    <row r="3" spans="1:9" s="1" customFormat="1" ht="30.75" customHeight="1" thickBot="1">
      <c r="A3" s="210" t="s">
        <v>38</v>
      </c>
      <c r="B3" s="211"/>
      <c r="C3" s="5" t="s">
        <v>41</v>
      </c>
      <c r="D3" s="211" t="s">
        <v>34</v>
      </c>
      <c r="E3" s="211"/>
      <c r="F3" s="211"/>
      <c r="G3" s="211"/>
      <c r="H3" s="211"/>
      <c r="I3" s="218"/>
    </row>
    <row r="4" spans="1:9" ht="50.25" customHeight="1" thickBot="1">
      <c r="A4" s="206" t="s">
        <v>39</v>
      </c>
      <c r="B4" s="207"/>
      <c r="C4" s="207"/>
      <c r="D4" s="207" t="s">
        <v>35</v>
      </c>
      <c r="E4" s="207"/>
      <c r="F4" s="207"/>
      <c r="G4" s="207"/>
      <c r="H4" s="207"/>
      <c r="I4" s="217"/>
    </row>
    <row r="5" spans="1:9" s="2" customFormat="1" ht="21.75" thickBot="1">
      <c r="A5" s="208" t="s">
        <v>36</v>
      </c>
      <c r="B5" s="209"/>
      <c r="C5" s="209"/>
      <c r="D5" s="215" t="s">
        <v>37</v>
      </c>
      <c r="E5" s="215"/>
      <c r="F5" s="215"/>
      <c r="G5" s="215"/>
      <c r="H5" s="215"/>
      <c r="I5" s="216"/>
    </row>
    <row r="6" spans="1:9" s="2" customFormat="1" ht="21.75" thickBot="1">
      <c r="A6" s="212" t="s">
        <v>141</v>
      </c>
      <c r="B6" s="213"/>
      <c r="C6" s="213"/>
      <c r="D6" s="213"/>
      <c r="E6" s="213"/>
      <c r="F6" s="213"/>
      <c r="G6" s="213"/>
      <c r="H6" s="213"/>
      <c r="I6" s="214"/>
    </row>
    <row r="7" spans="1:9" s="6" customFormat="1" ht="16.5" thickTop="1" thickBot="1">
      <c r="A7" s="127" t="s">
        <v>29</v>
      </c>
      <c r="B7" s="128" t="s">
        <v>40</v>
      </c>
      <c r="C7" s="128" t="s">
        <v>0</v>
      </c>
      <c r="D7" s="128" t="s">
        <v>47</v>
      </c>
      <c r="E7" s="128" t="s">
        <v>1</v>
      </c>
      <c r="F7" s="128" t="s">
        <v>2</v>
      </c>
      <c r="G7" s="128" t="s">
        <v>3</v>
      </c>
      <c r="H7" s="128" t="s">
        <v>42</v>
      </c>
      <c r="I7" s="129" t="s">
        <v>43</v>
      </c>
    </row>
    <row r="8" spans="1:9" ht="21" customHeight="1" thickTop="1" thickBot="1">
      <c r="A8" s="197"/>
      <c r="B8" s="130">
        <v>1028084</v>
      </c>
      <c r="C8" s="131" t="s">
        <v>13</v>
      </c>
      <c r="D8" s="130" t="s">
        <v>14</v>
      </c>
      <c r="E8" s="130">
        <v>6.5</v>
      </c>
      <c r="F8" s="130">
        <v>220</v>
      </c>
      <c r="G8" s="130">
        <v>147</v>
      </c>
      <c r="H8" s="131" t="s">
        <v>4</v>
      </c>
      <c r="I8" s="140"/>
    </row>
    <row r="9" spans="1:9" ht="21" customHeight="1" thickBot="1">
      <c r="A9" s="198"/>
      <c r="B9" s="132">
        <v>1032341</v>
      </c>
      <c r="C9" s="133" t="s">
        <v>13</v>
      </c>
      <c r="D9" s="132" t="s">
        <v>14</v>
      </c>
      <c r="E9" s="132">
        <v>6.5</v>
      </c>
      <c r="F9" s="132">
        <v>220</v>
      </c>
      <c r="G9" s="132">
        <v>147</v>
      </c>
      <c r="H9" s="133" t="s">
        <v>45</v>
      </c>
      <c r="I9" s="141"/>
    </row>
    <row r="10" spans="1:9" ht="21" customHeight="1" thickBot="1">
      <c r="A10" s="198"/>
      <c r="B10" s="132">
        <v>1029429</v>
      </c>
      <c r="C10" s="133" t="s">
        <v>44</v>
      </c>
      <c r="D10" s="132" t="s">
        <v>14</v>
      </c>
      <c r="E10" s="132">
        <v>6.5</v>
      </c>
      <c r="F10" s="132">
        <v>220</v>
      </c>
      <c r="G10" s="132">
        <v>147</v>
      </c>
      <c r="H10" s="133" t="s">
        <v>7</v>
      </c>
      <c r="I10" s="141"/>
    </row>
    <row r="11" spans="1:9" ht="21" customHeight="1" thickBot="1">
      <c r="A11" s="198"/>
      <c r="B11" s="132">
        <v>1029430</v>
      </c>
      <c r="C11" s="133" t="s">
        <v>44</v>
      </c>
      <c r="D11" s="132" t="s">
        <v>14</v>
      </c>
      <c r="E11" s="132">
        <v>6.5</v>
      </c>
      <c r="F11" s="132">
        <v>220</v>
      </c>
      <c r="G11" s="132">
        <v>147</v>
      </c>
      <c r="H11" s="133" t="s">
        <v>8</v>
      </c>
      <c r="I11" s="141"/>
    </row>
    <row r="12" spans="1:9" ht="21" customHeight="1" thickBot="1">
      <c r="A12" s="198"/>
      <c r="B12" s="132">
        <v>1029431</v>
      </c>
      <c r="C12" s="133" t="s">
        <v>44</v>
      </c>
      <c r="D12" s="132" t="s">
        <v>14</v>
      </c>
      <c r="E12" s="132">
        <v>6.5</v>
      </c>
      <c r="F12" s="132">
        <v>220</v>
      </c>
      <c r="G12" s="132">
        <v>147</v>
      </c>
      <c r="H12" s="133" t="s">
        <v>9</v>
      </c>
      <c r="I12" s="141"/>
    </row>
    <row r="13" spans="1:9" ht="21" customHeight="1" thickBot="1">
      <c r="A13" s="198"/>
      <c r="B13" s="132">
        <v>1029432</v>
      </c>
      <c r="C13" s="133" t="s">
        <v>44</v>
      </c>
      <c r="D13" s="132" t="s">
        <v>14</v>
      </c>
      <c r="E13" s="132">
        <v>6.5</v>
      </c>
      <c r="F13" s="132">
        <v>220</v>
      </c>
      <c r="G13" s="132">
        <v>147</v>
      </c>
      <c r="H13" s="133" t="s">
        <v>6</v>
      </c>
      <c r="I13" s="141"/>
    </row>
    <row r="14" spans="1:9" ht="21" customHeight="1" thickBot="1">
      <c r="A14" s="198"/>
      <c r="B14" s="132">
        <v>976586</v>
      </c>
      <c r="C14" s="133" t="s">
        <v>17</v>
      </c>
      <c r="D14" s="132" t="s">
        <v>12</v>
      </c>
      <c r="E14" s="132">
        <v>6.5</v>
      </c>
      <c r="F14" s="132">
        <v>190</v>
      </c>
      <c r="G14" s="132">
        <v>190</v>
      </c>
      <c r="H14" s="133" t="s">
        <v>4</v>
      </c>
      <c r="I14" s="141"/>
    </row>
    <row r="15" spans="1:9" ht="21" customHeight="1" thickBot="1">
      <c r="A15" s="198"/>
      <c r="B15" s="134">
        <v>1032330</v>
      </c>
      <c r="C15" s="133" t="s">
        <v>17</v>
      </c>
      <c r="D15" s="132" t="s">
        <v>12</v>
      </c>
      <c r="E15" s="132">
        <v>6.5</v>
      </c>
      <c r="F15" s="132">
        <v>190</v>
      </c>
      <c r="G15" s="132">
        <v>190</v>
      </c>
      <c r="H15" s="135" t="s">
        <v>45</v>
      </c>
      <c r="I15" s="141"/>
    </row>
    <row r="16" spans="1:9" ht="21" customHeight="1" thickBot="1">
      <c r="A16" s="198"/>
      <c r="B16" s="132">
        <v>1029479</v>
      </c>
      <c r="C16" s="133" t="s">
        <v>17</v>
      </c>
      <c r="D16" s="132" t="s">
        <v>12</v>
      </c>
      <c r="E16" s="132">
        <v>6.5</v>
      </c>
      <c r="F16" s="132">
        <v>190</v>
      </c>
      <c r="G16" s="132">
        <v>190</v>
      </c>
      <c r="H16" s="133" t="s">
        <v>7</v>
      </c>
      <c r="I16" s="141"/>
    </row>
    <row r="17" spans="1:9" ht="21" customHeight="1" thickBot="1">
      <c r="A17" s="198"/>
      <c r="B17" s="132">
        <v>1029424</v>
      </c>
      <c r="C17" s="133" t="s">
        <v>17</v>
      </c>
      <c r="D17" s="132" t="s">
        <v>12</v>
      </c>
      <c r="E17" s="132">
        <v>6.5</v>
      </c>
      <c r="F17" s="132">
        <v>190</v>
      </c>
      <c r="G17" s="132">
        <v>190</v>
      </c>
      <c r="H17" s="133" t="s">
        <v>8</v>
      </c>
      <c r="I17" s="141"/>
    </row>
    <row r="18" spans="1:9" ht="21" customHeight="1" thickBot="1">
      <c r="A18" s="198"/>
      <c r="B18" s="132">
        <v>1029425</v>
      </c>
      <c r="C18" s="133" t="s">
        <v>17</v>
      </c>
      <c r="D18" s="132" t="s">
        <v>12</v>
      </c>
      <c r="E18" s="132">
        <v>6.5</v>
      </c>
      <c r="F18" s="132">
        <v>190</v>
      </c>
      <c r="G18" s="132">
        <v>190</v>
      </c>
      <c r="H18" s="133" t="s">
        <v>9</v>
      </c>
      <c r="I18" s="141"/>
    </row>
    <row r="19" spans="1:9" ht="21" customHeight="1" thickBot="1">
      <c r="A19" s="198"/>
      <c r="B19" s="132">
        <v>1029426</v>
      </c>
      <c r="C19" s="133" t="s">
        <v>17</v>
      </c>
      <c r="D19" s="132" t="s">
        <v>12</v>
      </c>
      <c r="E19" s="132">
        <v>6.5</v>
      </c>
      <c r="F19" s="132">
        <v>190</v>
      </c>
      <c r="G19" s="132">
        <v>190</v>
      </c>
      <c r="H19" s="133" t="s">
        <v>6</v>
      </c>
      <c r="I19" s="141"/>
    </row>
    <row r="20" spans="1:9" ht="21" customHeight="1" thickBot="1">
      <c r="A20" s="199"/>
      <c r="B20" s="132">
        <v>896187</v>
      </c>
      <c r="C20" s="133" t="s">
        <v>18</v>
      </c>
      <c r="D20" s="132" t="s">
        <v>5</v>
      </c>
      <c r="E20" s="132">
        <v>6.5</v>
      </c>
      <c r="F20" s="132">
        <v>144</v>
      </c>
      <c r="G20" s="132">
        <v>144</v>
      </c>
      <c r="H20" s="133" t="s">
        <v>4</v>
      </c>
      <c r="I20" s="141"/>
    </row>
    <row r="21" spans="1:9" ht="21" customHeight="1" thickBot="1">
      <c r="A21" s="199"/>
      <c r="B21" s="134">
        <v>1032343</v>
      </c>
      <c r="C21" s="133" t="s">
        <v>18</v>
      </c>
      <c r="D21" s="132" t="s">
        <v>5</v>
      </c>
      <c r="E21" s="132">
        <v>6.5</v>
      </c>
      <c r="F21" s="132">
        <v>144</v>
      </c>
      <c r="G21" s="132">
        <v>144</v>
      </c>
      <c r="H21" s="135" t="s">
        <v>45</v>
      </c>
      <c r="I21" s="141"/>
    </row>
    <row r="22" spans="1:9" ht="21" customHeight="1" thickBot="1">
      <c r="A22" s="199"/>
      <c r="B22" s="132">
        <v>1029435</v>
      </c>
      <c r="C22" s="133" t="s">
        <v>18</v>
      </c>
      <c r="D22" s="132" t="s">
        <v>5</v>
      </c>
      <c r="E22" s="132">
        <v>6.5</v>
      </c>
      <c r="F22" s="132">
        <v>144</v>
      </c>
      <c r="G22" s="132">
        <v>144</v>
      </c>
      <c r="H22" s="133" t="s">
        <v>7</v>
      </c>
      <c r="I22" s="141"/>
    </row>
    <row r="23" spans="1:9" ht="21" customHeight="1" thickBot="1">
      <c r="A23" s="199"/>
      <c r="B23" s="132">
        <v>1029436</v>
      </c>
      <c r="C23" s="133" t="s">
        <v>18</v>
      </c>
      <c r="D23" s="132" t="s">
        <v>5</v>
      </c>
      <c r="E23" s="132">
        <v>6.5</v>
      </c>
      <c r="F23" s="132">
        <v>144</v>
      </c>
      <c r="G23" s="132">
        <v>144</v>
      </c>
      <c r="H23" s="133" t="s">
        <v>8</v>
      </c>
      <c r="I23" s="141"/>
    </row>
    <row r="24" spans="1:9" ht="21" customHeight="1" thickBot="1">
      <c r="A24" s="199"/>
      <c r="B24" s="132">
        <v>1029437</v>
      </c>
      <c r="C24" s="133" t="s">
        <v>18</v>
      </c>
      <c r="D24" s="132" t="s">
        <v>5</v>
      </c>
      <c r="E24" s="132">
        <v>6.5</v>
      </c>
      <c r="F24" s="132">
        <v>144</v>
      </c>
      <c r="G24" s="132">
        <v>144</v>
      </c>
      <c r="H24" s="133" t="s">
        <v>9</v>
      </c>
      <c r="I24" s="141"/>
    </row>
    <row r="25" spans="1:9" ht="21" customHeight="1" thickBot="1">
      <c r="A25" s="199"/>
      <c r="B25" s="132">
        <v>1029438</v>
      </c>
      <c r="C25" s="133" t="s">
        <v>18</v>
      </c>
      <c r="D25" s="132" t="s">
        <v>5</v>
      </c>
      <c r="E25" s="132">
        <v>6.5</v>
      </c>
      <c r="F25" s="132">
        <v>144</v>
      </c>
      <c r="G25" s="132">
        <v>144</v>
      </c>
      <c r="H25" s="133" t="s">
        <v>6</v>
      </c>
      <c r="I25" s="141"/>
    </row>
    <row r="26" spans="1:9" ht="21" customHeight="1" thickBot="1">
      <c r="A26" s="195"/>
      <c r="B26" s="132">
        <v>976233</v>
      </c>
      <c r="C26" s="133" t="s">
        <v>46</v>
      </c>
      <c r="D26" s="132" t="s">
        <v>15</v>
      </c>
      <c r="E26" s="132">
        <v>6.5</v>
      </c>
      <c r="F26" s="132">
        <v>227</v>
      </c>
      <c r="G26" s="132">
        <v>227</v>
      </c>
      <c r="H26" s="133" t="s">
        <v>4</v>
      </c>
      <c r="I26" s="141"/>
    </row>
    <row r="27" spans="1:9" ht="21" customHeight="1" thickBot="1">
      <c r="A27" s="195"/>
      <c r="B27" s="134">
        <v>1032329</v>
      </c>
      <c r="C27" s="133" t="s">
        <v>46</v>
      </c>
      <c r="D27" s="132" t="s">
        <v>15</v>
      </c>
      <c r="E27" s="132">
        <v>6.5</v>
      </c>
      <c r="F27" s="132">
        <v>227</v>
      </c>
      <c r="G27" s="132">
        <v>227</v>
      </c>
      <c r="H27" s="135" t="s">
        <v>45</v>
      </c>
      <c r="I27" s="141"/>
    </row>
    <row r="28" spans="1:9" ht="21" customHeight="1" thickBot="1">
      <c r="A28" s="195"/>
      <c r="B28" s="132">
        <v>1029418</v>
      </c>
      <c r="C28" s="133" t="s">
        <v>46</v>
      </c>
      <c r="D28" s="132" t="s">
        <v>15</v>
      </c>
      <c r="E28" s="132">
        <v>6.5</v>
      </c>
      <c r="F28" s="132">
        <v>227</v>
      </c>
      <c r="G28" s="132">
        <v>227</v>
      </c>
      <c r="H28" s="133" t="s">
        <v>7</v>
      </c>
      <c r="I28" s="141"/>
    </row>
    <row r="29" spans="1:9" ht="21" customHeight="1" thickBot="1">
      <c r="A29" s="195"/>
      <c r="B29" s="132">
        <v>1029419</v>
      </c>
      <c r="C29" s="133" t="s">
        <v>46</v>
      </c>
      <c r="D29" s="132" t="s">
        <v>15</v>
      </c>
      <c r="E29" s="132">
        <v>6.5</v>
      </c>
      <c r="F29" s="132">
        <v>227</v>
      </c>
      <c r="G29" s="132">
        <v>227</v>
      </c>
      <c r="H29" s="133" t="s">
        <v>8</v>
      </c>
      <c r="I29" s="141"/>
    </row>
    <row r="30" spans="1:9" ht="21" customHeight="1" thickBot="1">
      <c r="A30" s="195"/>
      <c r="B30" s="132">
        <v>1029420</v>
      </c>
      <c r="C30" s="133" t="s">
        <v>46</v>
      </c>
      <c r="D30" s="132" t="s">
        <v>15</v>
      </c>
      <c r="E30" s="132">
        <v>6.5</v>
      </c>
      <c r="F30" s="132">
        <v>227</v>
      </c>
      <c r="G30" s="132">
        <v>227</v>
      </c>
      <c r="H30" s="133" t="s">
        <v>9</v>
      </c>
      <c r="I30" s="141"/>
    </row>
    <row r="31" spans="1:9" ht="21" customHeight="1" thickBot="1">
      <c r="A31" s="195"/>
      <c r="B31" s="132">
        <v>1029421</v>
      </c>
      <c r="C31" s="133" t="s">
        <v>46</v>
      </c>
      <c r="D31" s="132" t="s">
        <v>15</v>
      </c>
      <c r="E31" s="132">
        <v>6.5</v>
      </c>
      <c r="F31" s="132">
        <v>227</v>
      </c>
      <c r="G31" s="132">
        <v>227</v>
      </c>
      <c r="H31" s="133" t="s">
        <v>6</v>
      </c>
      <c r="I31" s="141"/>
    </row>
    <row r="32" spans="1:9" ht="21" customHeight="1" thickBot="1">
      <c r="A32" s="195"/>
      <c r="B32" s="132">
        <v>850051</v>
      </c>
      <c r="C32" s="135" t="s">
        <v>188</v>
      </c>
      <c r="D32" s="132" t="s">
        <v>11</v>
      </c>
      <c r="E32" s="132">
        <v>6.5</v>
      </c>
      <c r="F32" s="132">
        <v>157</v>
      </c>
      <c r="G32" s="132">
        <v>157</v>
      </c>
      <c r="H32" s="133" t="s">
        <v>4</v>
      </c>
      <c r="I32" s="141"/>
    </row>
    <row r="33" spans="1:10" ht="21" customHeight="1" thickBot="1">
      <c r="A33" s="195"/>
      <c r="B33" s="134">
        <v>933406</v>
      </c>
      <c r="C33" s="135" t="s">
        <v>188</v>
      </c>
      <c r="D33" s="132" t="s">
        <v>11</v>
      </c>
      <c r="E33" s="132">
        <v>6.5</v>
      </c>
      <c r="F33" s="132">
        <v>157</v>
      </c>
      <c r="G33" s="132">
        <v>157</v>
      </c>
      <c r="H33" s="135" t="s">
        <v>45</v>
      </c>
      <c r="I33" s="141"/>
    </row>
    <row r="34" spans="1:10" ht="21" customHeight="1" thickBot="1">
      <c r="A34" s="195"/>
      <c r="B34" s="132">
        <v>1018880</v>
      </c>
      <c r="C34" s="135" t="s">
        <v>188</v>
      </c>
      <c r="D34" s="132" t="s">
        <v>11</v>
      </c>
      <c r="E34" s="132">
        <v>6.5</v>
      </c>
      <c r="F34" s="132">
        <v>157</v>
      </c>
      <c r="G34" s="132">
        <v>157</v>
      </c>
      <c r="H34" s="133" t="s">
        <v>7</v>
      </c>
      <c r="I34" s="141"/>
    </row>
    <row r="35" spans="1:10" ht="21" customHeight="1" thickBot="1">
      <c r="A35" s="195"/>
      <c r="B35" s="134">
        <v>998410</v>
      </c>
      <c r="C35" s="135" t="s">
        <v>188</v>
      </c>
      <c r="D35" s="132" t="s">
        <v>11</v>
      </c>
      <c r="E35" s="132">
        <v>6.5</v>
      </c>
      <c r="F35" s="132">
        <v>157</v>
      </c>
      <c r="G35" s="132">
        <v>157</v>
      </c>
      <c r="H35" s="133" t="s">
        <v>8</v>
      </c>
      <c r="I35" s="141"/>
    </row>
    <row r="36" spans="1:10" ht="21" customHeight="1" thickBot="1">
      <c r="A36" s="195"/>
      <c r="B36" s="132">
        <v>1029408</v>
      </c>
      <c r="C36" s="135" t="s">
        <v>188</v>
      </c>
      <c r="D36" s="132" t="s">
        <v>11</v>
      </c>
      <c r="E36" s="132">
        <v>6.5</v>
      </c>
      <c r="F36" s="132">
        <v>157</v>
      </c>
      <c r="G36" s="132">
        <v>157</v>
      </c>
      <c r="H36" s="133" t="s">
        <v>9</v>
      </c>
      <c r="I36" s="141"/>
    </row>
    <row r="37" spans="1:10" ht="21" customHeight="1" thickBot="1">
      <c r="A37" s="195"/>
      <c r="B37" s="132">
        <v>1029409</v>
      </c>
      <c r="C37" s="135" t="s">
        <v>188</v>
      </c>
      <c r="D37" s="132" t="s">
        <v>11</v>
      </c>
      <c r="E37" s="132">
        <v>6.5</v>
      </c>
      <c r="F37" s="132">
        <v>157</v>
      </c>
      <c r="G37" s="132">
        <v>157</v>
      </c>
      <c r="H37" s="133" t="s">
        <v>6</v>
      </c>
      <c r="I37" s="141"/>
    </row>
    <row r="38" spans="1:10" ht="21" customHeight="1" thickBot="1">
      <c r="A38" s="195"/>
      <c r="B38" s="132">
        <v>888882</v>
      </c>
      <c r="C38" s="135" t="s">
        <v>16</v>
      </c>
      <c r="D38" s="132" t="s">
        <v>10</v>
      </c>
      <c r="E38" s="132">
        <v>6.5</v>
      </c>
      <c r="F38" s="132">
        <v>106</v>
      </c>
      <c r="G38" s="132">
        <v>106</v>
      </c>
      <c r="H38" s="133" t="s">
        <v>4</v>
      </c>
      <c r="I38" s="141"/>
    </row>
    <row r="39" spans="1:10" ht="21" customHeight="1" thickBot="1">
      <c r="A39" s="195"/>
      <c r="B39" s="136">
        <v>1032342</v>
      </c>
      <c r="C39" s="135" t="s">
        <v>16</v>
      </c>
      <c r="D39" s="132" t="s">
        <v>10</v>
      </c>
      <c r="E39" s="132">
        <v>6.5</v>
      </c>
      <c r="F39" s="132">
        <v>106</v>
      </c>
      <c r="G39" s="132">
        <v>106</v>
      </c>
      <c r="H39" s="135" t="s">
        <v>45</v>
      </c>
      <c r="I39" s="141"/>
    </row>
    <row r="40" spans="1:10" ht="21" customHeight="1" thickBot="1">
      <c r="A40" s="195"/>
      <c r="B40" s="132">
        <v>1029412</v>
      </c>
      <c r="C40" s="135" t="s">
        <v>16</v>
      </c>
      <c r="D40" s="132" t="s">
        <v>10</v>
      </c>
      <c r="E40" s="132">
        <v>6.5</v>
      </c>
      <c r="F40" s="132">
        <v>106</v>
      </c>
      <c r="G40" s="132">
        <v>106</v>
      </c>
      <c r="H40" s="133" t="s">
        <v>7</v>
      </c>
      <c r="I40" s="141"/>
    </row>
    <row r="41" spans="1:10" ht="21" customHeight="1" thickBot="1">
      <c r="A41" s="195"/>
      <c r="B41" s="132">
        <v>1029413</v>
      </c>
      <c r="C41" s="135" t="s">
        <v>16</v>
      </c>
      <c r="D41" s="132" t="s">
        <v>10</v>
      </c>
      <c r="E41" s="132">
        <v>6.5</v>
      </c>
      <c r="F41" s="132">
        <v>106</v>
      </c>
      <c r="G41" s="132">
        <v>106</v>
      </c>
      <c r="H41" s="133" t="s">
        <v>8</v>
      </c>
      <c r="I41" s="141"/>
    </row>
    <row r="42" spans="1:10" ht="21" customHeight="1" thickBot="1">
      <c r="A42" s="195"/>
      <c r="B42" s="132">
        <v>1029414</v>
      </c>
      <c r="C42" s="135" t="s">
        <v>16</v>
      </c>
      <c r="D42" s="132" t="s">
        <v>10</v>
      </c>
      <c r="E42" s="132">
        <v>6.5</v>
      </c>
      <c r="F42" s="132">
        <v>106</v>
      </c>
      <c r="G42" s="132">
        <v>106</v>
      </c>
      <c r="H42" s="133" t="s">
        <v>9</v>
      </c>
      <c r="I42" s="141"/>
    </row>
    <row r="43" spans="1:10" ht="21" customHeight="1" thickBot="1">
      <c r="A43" s="196"/>
      <c r="B43" s="137">
        <v>1029415</v>
      </c>
      <c r="C43" s="138" t="s">
        <v>16</v>
      </c>
      <c r="D43" s="137" t="s">
        <v>10</v>
      </c>
      <c r="E43" s="137">
        <v>6.5</v>
      </c>
      <c r="F43" s="137">
        <v>106</v>
      </c>
      <c r="G43" s="137">
        <v>106</v>
      </c>
      <c r="H43" s="139" t="s">
        <v>6</v>
      </c>
      <c r="I43" s="142"/>
    </row>
    <row r="44" spans="1:10" ht="15.75" thickTop="1"/>
    <row r="45" spans="1:10" ht="15" customHeight="1">
      <c r="J45" s="123"/>
    </row>
    <row r="46" spans="1:10">
      <c r="J46" s="123"/>
    </row>
    <row r="47" spans="1:10">
      <c r="A47" s="182" t="s">
        <v>160</v>
      </c>
      <c r="B47" s="182"/>
      <c r="C47" s="182"/>
      <c r="D47" s="182"/>
      <c r="E47" s="182"/>
      <c r="F47" s="182"/>
      <c r="G47" s="182"/>
      <c r="H47" s="182"/>
      <c r="I47" s="182"/>
    </row>
    <row r="48" spans="1:10">
      <c r="A48" s="182"/>
      <c r="B48" s="182"/>
      <c r="C48" s="182"/>
      <c r="D48" s="182"/>
      <c r="E48" s="182"/>
      <c r="F48" s="182"/>
      <c r="G48" s="182"/>
      <c r="H48" s="182"/>
      <c r="I48" s="182"/>
    </row>
    <row r="49" spans="1:9">
      <c r="A49" s="182"/>
      <c r="B49" s="182"/>
      <c r="C49" s="182"/>
      <c r="D49" s="182"/>
      <c r="E49" s="182"/>
      <c r="F49" s="182"/>
      <c r="G49" s="182"/>
      <c r="H49" s="182"/>
      <c r="I49" s="182"/>
    </row>
    <row r="50" spans="1:9">
      <c r="A50" s="182"/>
      <c r="B50" s="182"/>
      <c r="C50" s="182"/>
      <c r="D50" s="182"/>
      <c r="E50" s="182"/>
      <c r="F50" s="182"/>
      <c r="G50" s="182"/>
      <c r="H50" s="182"/>
      <c r="I50" s="182"/>
    </row>
  </sheetData>
  <sheetProtection password="DE70" sheet="1" objects="1" scenarios="1"/>
  <mergeCells count="15">
    <mergeCell ref="A1:I2"/>
    <mergeCell ref="A4:C4"/>
    <mergeCell ref="A5:C5"/>
    <mergeCell ref="A3:B3"/>
    <mergeCell ref="A6:I6"/>
    <mergeCell ref="D5:I5"/>
    <mergeCell ref="D4:I4"/>
    <mergeCell ref="D3:I3"/>
    <mergeCell ref="A47:I50"/>
    <mergeCell ref="A38:A43"/>
    <mergeCell ref="A8:A13"/>
    <mergeCell ref="A14:A19"/>
    <mergeCell ref="A20:A25"/>
    <mergeCell ref="A26:A31"/>
    <mergeCell ref="A32:A37"/>
  </mergeCells>
  <hyperlinks>
    <hyperlink ref="D5" r:id="rId1" display="mailto:salesep@capral.com.au"/>
  </hyperlinks>
  <pageMargins left="0.31496062992125984" right="0.31496062992125984" top="0.31496062992125984" bottom="0.31496062992125984" header="0" footer="0"/>
  <pageSetup paperSize="9" scale="70" orientation="portrait" r:id="rId2"/>
  <headerFooter>
    <oddFooter>&amp;CVerson 1.1 - Aug, 17&amp;R&amp;A</oddFooter>
  </headerFooter>
  <drawing r:id="rId3"/>
</worksheet>
</file>

<file path=xl/worksheets/sheet3.xml><?xml version="1.0" encoding="utf-8"?>
<worksheet xmlns="http://schemas.openxmlformats.org/spreadsheetml/2006/main" xmlns:r="http://schemas.openxmlformats.org/officeDocument/2006/relationships">
  <dimension ref="A1:F28"/>
  <sheetViews>
    <sheetView showGridLines="0" view="pageLayout" zoomScaleNormal="100" zoomScaleSheetLayoutView="100" workbookViewId="0">
      <selection activeCell="C22" sqref="C22"/>
    </sheetView>
  </sheetViews>
  <sheetFormatPr defaultColWidth="9.125" defaultRowHeight="15"/>
  <cols>
    <col min="1" max="1" width="22.375" style="143" customWidth="1"/>
    <col min="2" max="2" width="18.75" style="143" customWidth="1"/>
    <col min="3" max="3" width="65.125" style="143" customWidth="1"/>
    <col min="4" max="4" width="8.875" style="143" customWidth="1"/>
    <col min="5" max="5" width="10.875" style="143" bestFit="1" customWidth="1"/>
    <col min="6" max="6" width="6.375" style="143" customWidth="1"/>
    <col min="7" max="16384" width="9.125" style="143"/>
  </cols>
  <sheetData>
    <row r="1" spans="1:6" ht="16.5" thickTop="1" thickBot="1">
      <c r="A1" s="221"/>
      <c r="B1" s="222"/>
      <c r="C1" s="222"/>
      <c r="D1" s="222"/>
      <c r="E1" s="222"/>
      <c r="F1" s="222"/>
    </row>
    <row r="2" spans="1:6" ht="111.75" customHeight="1" thickBot="1">
      <c r="A2" s="223"/>
      <c r="B2" s="224"/>
      <c r="C2" s="224"/>
      <c r="D2" s="224"/>
      <c r="E2" s="224"/>
      <c r="F2" s="224"/>
    </row>
    <row r="3" spans="1:6" ht="21" thickBot="1">
      <c r="A3" s="225" t="s">
        <v>38</v>
      </c>
      <c r="B3" s="226"/>
      <c r="C3" s="8" t="s">
        <v>52</v>
      </c>
      <c r="D3" s="226" t="s">
        <v>34</v>
      </c>
      <c r="E3" s="226"/>
      <c r="F3" s="226"/>
    </row>
    <row r="4" spans="1:6" ht="52.5" customHeight="1" thickBot="1">
      <c r="A4" s="227" t="s">
        <v>39</v>
      </c>
      <c r="B4" s="228"/>
      <c r="C4" s="226" t="s">
        <v>35</v>
      </c>
      <c r="D4" s="226"/>
      <c r="E4" s="226"/>
      <c r="F4" s="226"/>
    </row>
    <row r="5" spans="1:6" ht="21" thickBot="1">
      <c r="A5" s="229" t="s">
        <v>36</v>
      </c>
      <c r="B5" s="230"/>
      <c r="C5" s="231" t="s">
        <v>37</v>
      </c>
      <c r="D5" s="231"/>
      <c r="E5" s="231"/>
      <c r="F5" s="231"/>
    </row>
    <row r="6" spans="1:6" ht="20.25" customHeight="1" thickTop="1" thickBot="1">
      <c r="A6" s="232" t="s">
        <v>146</v>
      </c>
      <c r="B6" s="233"/>
      <c r="C6" s="233"/>
      <c r="D6" s="233"/>
      <c r="E6" s="233"/>
      <c r="F6" s="233"/>
    </row>
    <row r="7" spans="1:6" s="145" customFormat="1" ht="20.25" customHeight="1" thickTop="1" thickBot="1">
      <c r="A7" s="152" t="s">
        <v>29</v>
      </c>
      <c r="B7" s="144" t="s">
        <v>40</v>
      </c>
      <c r="C7" s="144" t="s">
        <v>0</v>
      </c>
      <c r="D7" s="144" t="s">
        <v>28</v>
      </c>
      <c r="E7" s="144" t="s">
        <v>27</v>
      </c>
      <c r="F7" s="151" t="s">
        <v>26</v>
      </c>
    </row>
    <row r="8" spans="1:6" ht="48" customHeight="1" thickBot="1">
      <c r="A8" s="150"/>
      <c r="B8" s="146">
        <v>309327</v>
      </c>
      <c r="C8" s="147" t="s">
        <v>25</v>
      </c>
      <c r="D8" s="146" t="s">
        <v>48</v>
      </c>
      <c r="E8" s="148" t="s">
        <v>30</v>
      </c>
      <c r="F8" s="149"/>
    </row>
    <row r="9" spans="1:6" ht="37.5" customHeight="1" thickBot="1">
      <c r="A9" s="150"/>
      <c r="B9" s="146">
        <v>301086</v>
      </c>
      <c r="C9" s="147" t="s">
        <v>128</v>
      </c>
      <c r="D9" s="146" t="s">
        <v>49</v>
      </c>
      <c r="E9" s="148" t="s">
        <v>31</v>
      </c>
      <c r="F9" s="149"/>
    </row>
    <row r="10" spans="1:6" ht="37.5" customHeight="1" thickBot="1">
      <c r="A10" s="150"/>
      <c r="B10" s="146">
        <v>300059</v>
      </c>
      <c r="C10" s="147" t="s">
        <v>201</v>
      </c>
      <c r="D10" s="146" t="s">
        <v>50</v>
      </c>
      <c r="E10" s="148" t="s">
        <v>31</v>
      </c>
      <c r="F10" s="149"/>
    </row>
    <row r="11" spans="1:6" ht="37.5" customHeight="1" thickBot="1">
      <c r="A11" s="150"/>
      <c r="B11" s="146">
        <v>309153</v>
      </c>
      <c r="C11" s="147" t="s">
        <v>202</v>
      </c>
      <c r="D11" s="146" t="s">
        <v>50</v>
      </c>
      <c r="E11" s="148" t="s">
        <v>31</v>
      </c>
      <c r="F11" s="149"/>
    </row>
    <row r="12" spans="1:6" ht="37.5" customHeight="1" thickBot="1">
      <c r="A12" s="150"/>
      <c r="B12" s="146">
        <v>317676</v>
      </c>
      <c r="C12" s="147" t="s">
        <v>203</v>
      </c>
      <c r="D12" s="146" t="s">
        <v>51</v>
      </c>
      <c r="E12" s="148" t="s">
        <v>32</v>
      </c>
      <c r="F12" s="149"/>
    </row>
    <row r="13" spans="1:6" ht="62.25" customHeight="1" thickBot="1">
      <c r="A13" s="150"/>
      <c r="B13" s="146">
        <v>308945</v>
      </c>
      <c r="C13" s="147" t="s">
        <v>24</v>
      </c>
      <c r="D13" s="146" t="s">
        <v>19</v>
      </c>
      <c r="E13" s="148" t="s">
        <v>30</v>
      </c>
      <c r="F13" s="149"/>
    </row>
    <row r="14" spans="1:6" ht="62.25" customHeight="1" thickBot="1">
      <c r="A14" s="150"/>
      <c r="B14" s="146">
        <v>317675</v>
      </c>
      <c r="C14" s="147" t="s">
        <v>142</v>
      </c>
      <c r="D14" s="146" t="s">
        <v>20</v>
      </c>
      <c r="E14" s="148"/>
      <c r="F14" s="149"/>
    </row>
    <row r="15" spans="1:6" ht="62.25" customHeight="1" thickBot="1">
      <c r="A15" s="150"/>
      <c r="B15" s="146">
        <v>301405</v>
      </c>
      <c r="C15" s="147" t="s">
        <v>23</v>
      </c>
      <c r="D15" s="146" t="s">
        <v>20</v>
      </c>
      <c r="E15" s="148" t="s">
        <v>33</v>
      </c>
      <c r="F15" s="149"/>
    </row>
    <row r="16" spans="1:6" ht="62.25" customHeight="1" thickBot="1">
      <c r="A16" s="150"/>
      <c r="B16" s="146">
        <v>301620</v>
      </c>
      <c r="C16" s="147" t="s">
        <v>21</v>
      </c>
      <c r="D16" s="146" t="s">
        <v>20</v>
      </c>
      <c r="E16" s="148" t="s">
        <v>33</v>
      </c>
      <c r="F16" s="149"/>
    </row>
    <row r="17" spans="1:6" ht="62.25" customHeight="1" thickBot="1">
      <c r="A17" s="150"/>
      <c r="B17" s="146">
        <v>306668</v>
      </c>
      <c r="C17" s="147" t="s">
        <v>22</v>
      </c>
      <c r="D17" s="146" t="s">
        <v>20</v>
      </c>
      <c r="E17" s="148" t="s">
        <v>30</v>
      </c>
      <c r="F17" s="149"/>
    </row>
    <row r="18" spans="1:6" ht="62.25" customHeight="1" thickBot="1">
      <c r="A18" s="150"/>
      <c r="B18" s="146">
        <v>317673</v>
      </c>
      <c r="C18" s="147" t="s">
        <v>143</v>
      </c>
      <c r="D18" s="146" t="s">
        <v>19</v>
      </c>
      <c r="E18" s="148" t="s">
        <v>30</v>
      </c>
      <c r="F18" s="149"/>
    </row>
    <row r="19" spans="1:6" ht="62.25" customHeight="1" thickBot="1">
      <c r="A19" s="168"/>
      <c r="B19" s="165">
        <v>320003</v>
      </c>
      <c r="C19" s="169" t="s">
        <v>204</v>
      </c>
      <c r="D19" s="165" t="s">
        <v>200</v>
      </c>
      <c r="E19" s="166" t="s">
        <v>30</v>
      </c>
      <c r="F19" s="167"/>
    </row>
    <row r="20" spans="1:6" ht="62.25" customHeight="1" thickBot="1">
      <c r="A20" s="168"/>
      <c r="B20" s="165">
        <v>320001</v>
      </c>
      <c r="C20" s="169" t="s">
        <v>197</v>
      </c>
      <c r="D20" s="165" t="s">
        <v>200</v>
      </c>
      <c r="E20" s="166" t="s">
        <v>30</v>
      </c>
      <c r="F20" s="167"/>
    </row>
    <row r="21" spans="1:6" ht="62.25" customHeight="1" thickBot="1">
      <c r="A21" s="168"/>
      <c r="B21" s="165">
        <v>320002</v>
      </c>
      <c r="C21" s="169" t="s">
        <v>199</v>
      </c>
      <c r="D21" s="165" t="s">
        <v>200</v>
      </c>
      <c r="E21" s="166" t="s">
        <v>30</v>
      </c>
      <c r="F21" s="149"/>
    </row>
    <row r="22" spans="1:6" ht="62.25" customHeight="1" thickBot="1">
      <c r="A22" s="150"/>
      <c r="B22" s="146">
        <v>317671</v>
      </c>
      <c r="C22" s="147" t="s">
        <v>144</v>
      </c>
      <c r="D22" s="146" t="s">
        <v>19</v>
      </c>
      <c r="E22" s="148" t="s">
        <v>30</v>
      </c>
      <c r="F22" s="149"/>
    </row>
    <row r="23" spans="1:6" ht="62.25" customHeight="1" thickBot="1">
      <c r="A23" s="150"/>
      <c r="B23" s="146">
        <v>317672</v>
      </c>
      <c r="C23" s="147" t="s">
        <v>145</v>
      </c>
      <c r="D23" s="146" t="s">
        <v>19</v>
      </c>
      <c r="E23" s="148" t="s">
        <v>30</v>
      </c>
      <c r="F23" s="149"/>
    </row>
    <row r="24" spans="1:6" ht="15.75" thickTop="1">
      <c r="A24" s="219" t="s">
        <v>205</v>
      </c>
      <c r="B24" s="219"/>
      <c r="C24" s="219"/>
      <c r="D24" s="219"/>
      <c r="E24" s="219"/>
      <c r="F24" s="219"/>
    </row>
    <row r="25" spans="1:6">
      <c r="A25" s="220"/>
      <c r="B25" s="220"/>
      <c r="C25" s="220"/>
      <c r="D25" s="220"/>
      <c r="E25" s="220"/>
      <c r="F25" s="220"/>
    </row>
    <row r="26" spans="1:6" ht="15.75" customHeight="1">
      <c r="A26" s="220"/>
      <c r="B26" s="220"/>
      <c r="C26" s="220"/>
      <c r="D26" s="220"/>
      <c r="E26" s="220"/>
      <c r="F26" s="220"/>
    </row>
    <row r="27" spans="1:6">
      <c r="A27" s="220"/>
      <c r="B27" s="220"/>
      <c r="C27" s="220"/>
      <c r="D27" s="220"/>
      <c r="E27" s="220"/>
      <c r="F27" s="220"/>
    </row>
    <row r="28" spans="1:6">
      <c r="A28" s="220"/>
      <c r="B28" s="220"/>
      <c r="C28" s="220"/>
      <c r="D28" s="220"/>
      <c r="E28" s="220"/>
      <c r="F28" s="220"/>
    </row>
  </sheetData>
  <sheetProtection password="DE70" sheet="1" objects="1" scenarios="1"/>
  <mergeCells count="9">
    <mergeCell ref="A24:F28"/>
    <mergeCell ref="A1:F2"/>
    <mergeCell ref="A3:B3"/>
    <mergeCell ref="A4:B4"/>
    <mergeCell ref="A5:B5"/>
    <mergeCell ref="C5:F5"/>
    <mergeCell ref="D3:F3"/>
    <mergeCell ref="C4:F4"/>
    <mergeCell ref="A6:F6"/>
  </mergeCells>
  <hyperlinks>
    <hyperlink ref="C5" r:id="rId1" display="mailto:salesep@capral.com.au"/>
  </hyperlinks>
  <pageMargins left="0.59055118110236227" right="0.59055118110236227" top="0.31496062992125984" bottom="0.31496062992125984" header="0" footer="0"/>
  <pageSetup paperSize="9" scale="68" orientation="portrait" r:id="rId2"/>
  <headerFooter>
    <oddFooter>&amp;CVerson 1.1 - Aug, 17&amp;R&amp;A</oddFooter>
  </headerFooter>
  <drawing r:id="rId3"/>
</worksheet>
</file>

<file path=xl/worksheets/sheet4.xml><?xml version="1.0" encoding="utf-8"?>
<worksheet xmlns="http://schemas.openxmlformats.org/spreadsheetml/2006/main" xmlns:r="http://schemas.openxmlformats.org/officeDocument/2006/relationships">
  <dimension ref="A1:U72"/>
  <sheetViews>
    <sheetView showGridLines="0" view="pageLayout" zoomScaleNormal="100" zoomScaleSheetLayoutView="100" workbookViewId="0">
      <selection activeCell="F14" sqref="F14"/>
    </sheetView>
  </sheetViews>
  <sheetFormatPr defaultRowHeight="15"/>
  <cols>
    <col min="1" max="1" width="1.375" customWidth="1"/>
    <col min="2" max="3" width="24.625" customWidth="1"/>
    <col min="4" max="7" width="24.625" style="12" customWidth="1"/>
    <col min="8" max="8" width="1.375" customWidth="1"/>
    <col min="9" max="12" width="9.125" style="173"/>
    <col min="13" max="13" width="21.625" style="173" customWidth="1"/>
    <col min="14" max="14" width="9.125" style="173"/>
    <col min="15" max="15" width="20.125" style="173" customWidth="1"/>
    <col min="16" max="20" width="9.125" style="173"/>
    <col min="21" max="21" width="9" style="174"/>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94</v>
      </c>
      <c r="B5" s="236"/>
      <c r="C5" s="236"/>
      <c r="D5" s="236"/>
      <c r="E5" s="236"/>
      <c r="F5" s="236"/>
      <c r="G5" s="236"/>
      <c r="H5" s="237"/>
    </row>
    <row r="6" spans="1:16" ht="18" thickTop="1" thickBot="1">
      <c r="A6" s="48"/>
      <c r="B6" s="49"/>
      <c r="C6" s="49"/>
      <c r="D6" s="50"/>
      <c r="E6" s="50"/>
      <c r="F6" s="50"/>
      <c r="G6" s="50"/>
      <c r="H6" s="51"/>
      <c r="M6" s="173" t="s">
        <v>53</v>
      </c>
      <c r="O6" s="173" t="s">
        <v>54</v>
      </c>
    </row>
    <row r="7" spans="1:16" ht="18" thickTop="1" thickBot="1">
      <c r="A7" s="52"/>
      <c r="B7" s="53" t="s">
        <v>90</v>
      </c>
      <c r="C7" s="31">
        <v>1200</v>
      </c>
      <c r="D7" s="54" t="s">
        <v>92</v>
      </c>
      <c r="E7" s="32">
        <v>600</v>
      </c>
      <c r="F7" s="54" t="s">
        <v>62</v>
      </c>
      <c r="G7" s="87">
        <v>1</v>
      </c>
      <c r="H7" s="56"/>
      <c r="M7" s="173">
        <v>10</v>
      </c>
      <c r="O7" s="173">
        <v>38</v>
      </c>
    </row>
    <row r="8" spans="1:16" ht="18" thickTop="1" thickBot="1">
      <c r="A8" s="57"/>
      <c r="B8" s="58"/>
      <c r="C8" s="59"/>
      <c r="D8" s="60"/>
      <c r="E8" s="61"/>
      <c r="F8" s="62"/>
      <c r="G8" s="63"/>
      <c r="H8" s="56"/>
      <c r="M8" s="173">
        <v>20</v>
      </c>
      <c r="O8" s="173">
        <v>65</v>
      </c>
    </row>
    <row r="9" spans="1:16" ht="30" thickTop="1" thickBot="1">
      <c r="A9" s="52"/>
      <c r="B9" s="104" t="s">
        <v>161</v>
      </c>
      <c r="C9" s="64">
        <f>(C7+50)*G7+50</f>
        <v>1300</v>
      </c>
      <c r="D9" s="104" t="s">
        <v>164</v>
      </c>
      <c r="E9" s="64">
        <f>(B12*C12)+((C12-1)*G12)+45</f>
        <v>611</v>
      </c>
      <c r="F9" s="104" t="s">
        <v>163</v>
      </c>
      <c r="G9" s="64">
        <f>(B12*C12)+((C12-1)*G12)+45+58</f>
        <v>669</v>
      </c>
      <c r="H9" s="56"/>
      <c r="O9" s="173">
        <v>100</v>
      </c>
    </row>
    <row r="10" spans="1:16" ht="18" thickTop="1" thickBot="1">
      <c r="A10" s="52"/>
      <c r="B10" s="102" t="s">
        <v>158</v>
      </c>
      <c r="C10" s="98"/>
      <c r="D10" s="65"/>
      <c r="E10" s="101" t="s">
        <v>157</v>
      </c>
      <c r="F10" s="65"/>
      <c r="G10" s="101" t="s">
        <v>157</v>
      </c>
      <c r="H10" s="56"/>
    </row>
    <row r="11" spans="1:16" ht="18" thickTop="1" thickBot="1">
      <c r="A11" s="52"/>
      <c r="B11" s="67" t="s">
        <v>55</v>
      </c>
      <c r="C11" s="68" t="s">
        <v>56</v>
      </c>
      <c r="D11" s="69" t="s">
        <v>57</v>
      </c>
      <c r="E11" s="69" t="s">
        <v>58</v>
      </c>
      <c r="F11" s="69" t="s">
        <v>59</v>
      </c>
      <c r="G11" s="70" t="s">
        <v>60</v>
      </c>
      <c r="H11" s="56"/>
    </row>
    <row r="12" spans="1:16" ht="17.25" thickBot="1">
      <c r="A12" s="52"/>
      <c r="B12" s="28">
        <v>38</v>
      </c>
      <c r="C12" s="29">
        <v>12</v>
      </c>
      <c r="D12" s="30">
        <v>10</v>
      </c>
      <c r="E12" s="30"/>
      <c r="F12" s="30"/>
      <c r="G12" s="71">
        <f>D12+E12+F12</f>
        <v>10</v>
      </c>
      <c r="H12" s="56"/>
      <c r="M12" s="173" t="s">
        <v>63</v>
      </c>
      <c r="N12" s="175">
        <f>(C12-1)*2</f>
        <v>22</v>
      </c>
    </row>
    <row r="13" spans="1:16" ht="18" thickTop="1" thickBot="1">
      <c r="A13" s="57"/>
      <c r="B13" s="72"/>
      <c r="C13" s="73"/>
      <c r="D13" s="74"/>
      <c r="E13" s="74"/>
      <c r="F13" s="74"/>
      <c r="G13" s="75"/>
      <c r="H13" s="76"/>
      <c r="M13" s="173" t="s">
        <v>64</v>
      </c>
      <c r="N13" s="173">
        <f>IF(D12=10,N12,"")</f>
        <v>22</v>
      </c>
      <c r="O13" s="173" t="s">
        <v>65</v>
      </c>
      <c r="P13" s="173" t="str">
        <f>IF(D12=20,N12,"")</f>
        <v/>
      </c>
    </row>
    <row r="14" spans="1:16" ht="18" thickTop="1" thickBot="1">
      <c r="A14" s="52"/>
      <c r="B14" s="54" t="s">
        <v>61</v>
      </c>
      <c r="C14" s="77">
        <f>(((E7-45)-B12)/(B12+G12))+1</f>
        <v>11.770833333333334</v>
      </c>
      <c r="D14" s="78"/>
      <c r="E14" s="79"/>
      <c r="F14" s="79"/>
      <c r="G14" s="78"/>
      <c r="H14" s="56"/>
      <c r="M14" s="173" t="s">
        <v>67</v>
      </c>
      <c r="N14" s="173" t="str">
        <f>IF(E12=10,N12,"")</f>
        <v/>
      </c>
      <c r="O14" s="173" t="s">
        <v>68</v>
      </c>
      <c r="P14" s="173" t="str">
        <f>IF(E12=20,N12,"")</f>
        <v/>
      </c>
    </row>
    <row r="15" spans="1:16" ht="18" thickTop="1" thickBot="1">
      <c r="A15" s="52"/>
      <c r="B15" s="80"/>
      <c r="C15" s="80"/>
      <c r="D15" s="78"/>
      <c r="E15" s="78"/>
      <c r="F15" s="78"/>
      <c r="G15" s="78"/>
      <c r="H15" s="56"/>
      <c r="M15" s="173" t="s">
        <v>72</v>
      </c>
      <c r="N15" s="173" t="str">
        <f>IF(F12=10,N12,"")</f>
        <v/>
      </c>
      <c r="O15" s="173" t="s">
        <v>73</v>
      </c>
      <c r="P15" s="173" t="str">
        <f>IF(F12=20,N12,"")</f>
        <v/>
      </c>
    </row>
    <row r="16" spans="1:16" ht="20.25" thickTop="1" thickBot="1">
      <c r="A16" s="52"/>
      <c r="B16" s="253" t="s">
        <v>66</v>
      </c>
      <c r="C16" s="254"/>
      <c r="D16" s="254"/>
      <c r="E16" s="254"/>
      <c r="F16" s="254"/>
      <c r="G16" s="255"/>
      <c r="H16" s="56"/>
      <c r="M16" s="173" t="s">
        <v>75</v>
      </c>
      <c r="N16" s="173">
        <f>SUM(N13:N15)</f>
        <v>22</v>
      </c>
      <c r="O16" s="173" t="s">
        <v>76</v>
      </c>
      <c r="P16" s="173">
        <f>SUM(P13:P15)</f>
        <v>0</v>
      </c>
    </row>
    <row r="17" spans="1:21" ht="18" thickTop="1" thickBot="1">
      <c r="A17" s="52"/>
      <c r="B17" s="256" t="s">
        <v>47</v>
      </c>
      <c r="C17" s="257"/>
      <c r="D17" s="109" t="s">
        <v>69</v>
      </c>
      <c r="E17" s="109" t="s">
        <v>1</v>
      </c>
      <c r="F17" s="109" t="s">
        <v>70</v>
      </c>
      <c r="G17" s="110" t="s">
        <v>71</v>
      </c>
      <c r="H17" s="56"/>
    </row>
    <row r="18" spans="1:21" ht="18" thickTop="1" thickBot="1">
      <c r="A18" s="52"/>
      <c r="B18" s="258" t="s">
        <v>74</v>
      </c>
      <c r="C18" s="259"/>
      <c r="D18" s="111" t="s">
        <v>14</v>
      </c>
      <c r="E18" s="111">
        <f>E9-5</f>
        <v>606</v>
      </c>
      <c r="F18" s="81">
        <f>2*G7</f>
        <v>2</v>
      </c>
      <c r="G18" s="116">
        <f>ROUNDUP(F18/(ROUNDDOWN(VLOOKUP(D18,M19:N23,2,FALSE)/(E18+3),0)),0)</f>
        <v>1</v>
      </c>
      <c r="H18" s="56"/>
    </row>
    <row r="19" spans="1:21" ht="17.25" thickBot="1">
      <c r="A19" s="52"/>
      <c r="B19" s="249" t="s">
        <v>155</v>
      </c>
      <c r="C19" s="250"/>
      <c r="D19" s="251" t="s">
        <v>12</v>
      </c>
      <c r="E19" s="107">
        <f>E9</f>
        <v>611</v>
      </c>
      <c r="F19" s="260">
        <f>G7+1</f>
        <v>2</v>
      </c>
      <c r="G19" s="261">
        <f>ROUNDUP(F19/(ROUNDDOWN(VLOOKUP(D19,M19:N23,2,FALSE)/(E20+3),0)),0)</f>
        <v>1</v>
      </c>
      <c r="H19" s="56"/>
      <c r="M19" s="173" t="s">
        <v>14</v>
      </c>
      <c r="N19" s="173">
        <v>6500</v>
      </c>
    </row>
    <row r="20" spans="1:21" ht="17.25" thickBot="1">
      <c r="A20" s="52"/>
      <c r="B20" s="249" t="s">
        <v>156</v>
      </c>
      <c r="C20" s="250"/>
      <c r="D20" s="251"/>
      <c r="E20" s="107">
        <f>G9-8</f>
        <v>661</v>
      </c>
      <c r="F20" s="251"/>
      <c r="G20" s="262"/>
      <c r="H20" s="56"/>
      <c r="M20" s="173" t="s">
        <v>12</v>
      </c>
      <c r="N20" s="173">
        <v>6500</v>
      </c>
    </row>
    <row r="21" spans="1:21" ht="17.25" thickBot="1">
      <c r="A21" s="52"/>
      <c r="B21" s="82" t="s">
        <v>77</v>
      </c>
      <c r="C21" s="83" t="str">
        <f>IF(B12=100,"100 x 16 x 1.2mm",IF(B12=65,"65 x 16 x 1.2mm",IF(B12=38,"38 x 16 x 1.6mm","")))</f>
        <v>38 x 16 x 1.6mm</v>
      </c>
      <c r="D21" s="112" t="str">
        <f>IF(B12=100,"EP12022",IF(B12=65,"EQ6823",IF(B12=38,"EP7822","")))</f>
        <v>EP7822</v>
      </c>
      <c r="E21" s="112">
        <f>C7-12</f>
        <v>1188</v>
      </c>
      <c r="F21" s="117">
        <f>C12*G7</f>
        <v>12</v>
      </c>
      <c r="G21" s="118">
        <f>ROUNDUP(F21/(ROUNDDOWN(VLOOKUP(D21,M19:N23,2,FALSE)/(E21+3),0)),0)</f>
        <v>3</v>
      </c>
      <c r="H21" s="56"/>
      <c r="M21" s="173" t="s">
        <v>15</v>
      </c>
      <c r="N21" s="173">
        <v>6500</v>
      </c>
    </row>
    <row r="22" spans="1:21" ht="18" thickTop="1" thickBot="1">
      <c r="A22" s="52"/>
      <c r="B22" s="80"/>
      <c r="C22" s="80"/>
      <c r="D22" s="78"/>
      <c r="E22" s="78"/>
      <c r="F22" s="78"/>
      <c r="G22" s="78"/>
      <c r="H22" s="56"/>
      <c r="M22" s="173" t="s">
        <v>11</v>
      </c>
      <c r="N22" s="173">
        <v>6500</v>
      </c>
    </row>
    <row r="23" spans="1:21" ht="20.25" thickTop="1" thickBot="1">
      <c r="A23" s="52"/>
      <c r="B23" s="253" t="s">
        <v>78</v>
      </c>
      <c r="C23" s="254"/>
      <c r="D23" s="254"/>
      <c r="E23" s="254"/>
      <c r="F23" s="254"/>
      <c r="G23" s="255"/>
      <c r="H23" s="56"/>
      <c r="M23" s="173" t="s">
        <v>10</v>
      </c>
      <c r="N23" s="173">
        <v>6500</v>
      </c>
    </row>
    <row r="24" spans="1:21" ht="18" thickTop="1" thickBot="1">
      <c r="A24" s="52"/>
      <c r="B24" s="256" t="s">
        <v>79</v>
      </c>
      <c r="C24" s="257"/>
      <c r="D24" s="109" t="s">
        <v>80</v>
      </c>
      <c r="E24" s="109" t="s">
        <v>81</v>
      </c>
      <c r="F24" s="263" t="s">
        <v>70</v>
      </c>
      <c r="G24" s="264"/>
      <c r="H24" s="56"/>
    </row>
    <row r="25" spans="1:21" ht="18" thickTop="1" thickBot="1">
      <c r="A25" s="52"/>
      <c r="B25" s="258" t="s">
        <v>82</v>
      </c>
      <c r="C25" s="259"/>
      <c r="D25" s="111">
        <v>317673</v>
      </c>
      <c r="E25" s="111" t="s">
        <v>83</v>
      </c>
      <c r="F25" s="265">
        <f>4*G7</f>
        <v>4</v>
      </c>
      <c r="G25" s="266"/>
      <c r="H25" s="56"/>
    </row>
    <row r="26" spans="1:21" ht="17.25" thickBot="1">
      <c r="A26" s="52"/>
      <c r="B26" s="249" t="s">
        <v>84</v>
      </c>
      <c r="C26" s="250"/>
      <c r="D26" s="107">
        <v>317671</v>
      </c>
      <c r="E26" s="107" t="s">
        <v>83</v>
      </c>
      <c r="F26" s="251">
        <f>N16*G7</f>
        <v>22</v>
      </c>
      <c r="G26" s="252"/>
      <c r="H26" s="56"/>
    </row>
    <row r="27" spans="1:21" ht="17.25" thickBot="1">
      <c r="A27" s="52"/>
      <c r="B27" s="249" t="s">
        <v>85</v>
      </c>
      <c r="C27" s="250"/>
      <c r="D27" s="107">
        <v>317672</v>
      </c>
      <c r="E27" s="107" t="s">
        <v>83</v>
      </c>
      <c r="F27" s="251">
        <f>P16*G7</f>
        <v>0</v>
      </c>
      <c r="G27" s="252"/>
      <c r="H27" s="56"/>
    </row>
    <row r="28" spans="1:21" ht="17.25" thickBot="1">
      <c r="A28" s="52"/>
      <c r="B28" s="249" t="s">
        <v>86</v>
      </c>
      <c r="C28" s="250"/>
      <c r="D28" s="107">
        <v>309327</v>
      </c>
      <c r="E28" s="107" t="s">
        <v>83</v>
      </c>
      <c r="F28" s="251">
        <f>4*G7</f>
        <v>4</v>
      </c>
      <c r="G28" s="252"/>
      <c r="H28" s="56"/>
      <c r="S28" s="173">
        <f>E20*F19</f>
        <v>1322</v>
      </c>
    </row>
    <row r="29" spans="1:21" ht="17.25" thickBot="1">
      <c r="A29" s="52"/>
      <c r="B29" s="249" t="s">
        <v>162</v>
      </c>
      <c r="C29" s="250"/>
      <c r="D29" s="107">
        <v>317676</v>
      </c>
      <c r="E29" s="107" t="s">
        <v>83</v>
      </c>
      <c r="F29" s="260">
        <f>N12*G7</f>
        <v>22</v>
      </c>
      <c r="G29" s="267"/>
      <c r="H29" s="56"/>
    </row>
    <row r="30" spans="1:21" ht="17.25" thickBot="1">
      <c r="A30" s="52"/>
      <c r="B30" s="268" t="s">
        <v>193</v>
      </c>
      <c r="C30" s="269"/>
      <c r="D30" s="107">
        <v>309153</v>
      </c>
      <c r="E30" s="107" t="s">
        <v>83</v>
      </c>
      <c r="F30" s="270">
        <f>4*G7</f>
        <v>4</v>
      </c>
      <c r="G30" s="271"/>
      <c r="H30" s="56"/>
      <c r="S30" s="173">
        <f>SUM(S28:S29)</f>
        <v>1322</v>
      </c>
    </row>
    <row r="31" spans="1:21" s="46" customFormat="1" ht="17.25" thickBot="1">
      <c r="A31" s="52"/>
      <c r="B31" s="249" t="s">
        <v>87</v>
      </c>
      <c r="C31" s="250"/>
      <c r="D31" s="103" t="s">
        <v>159</v>
      </c>
      <c r="E31" s="107" t="s">
        <v>83</v>
      </c>
      <c r="F31" s="260">
        <f>MAX((2*(ROUNDUP((E18/300),0)+1)*G7),4)</f>
        <v>8</v>
      </c>
      <c r="G31" s="267"/>
      <c r="H31" s="56"/>
      <c r="I31" s="173"/>
      <c r="J31" s="173"/>
      <c r="K31" s="173"/>
      <c r="L31" s="173"/>
      <c r="M31" s="173"/>
      <c r="N31" s="173"/>
      <c r="O31" s="173"/>
      <c r="P31" s="173"/>
      <c r="Q31" s="173"/>
      <c r="R31" s="173"/>
      <c r="S31" s="173"/>
      <c r="T31" s="173"/>
      <c r="U31" s="174"/>
    </row>
    <row r="32" spans="1:21" ht="17.25" thickBot="1">
      <c r="A32" s="52"/>
      <c r="B32" s="249" t="s">
        <v>88</v>
      </c>
      <c r="C32" s="250"/>
      <c r="D32" s="107">
        <v>306668</v>
      </c>
      <c r="E32" s="107" t="s">
        <v>83</v>
      </c>
      <c r="F32" s="251">
        <f>F19</f>
        <v>2</v>
      </c>
      <c r="G32" s="252"/>
      <c r="H32" s="56"/>
      <c r="S32" s="173">
        <f>S30/6500</f>
        <v>0.20338461538461539</v>
      </c>
    </row>
    <row r="33" spans="1:21" ht="17.25" thickBot="1">
      <c r="A33" s="52"/>
      <c r="B33" s="272" t="s">
        <v>23</v>
      </c>
      <c r="C33" s="273"/>
      <c r="D33" s="112">
        <v>301405</v>
      </c>
      <c r="E33" s="112" t="s">
        <v>83</v>
      </c>
      <c r="F33" s="274">
        <f>F19</f>
        <v>2</v>
      </c>
      <c r="G33" s="275"/>
      <c r="H33" s="56"/>
    </row>
    <row r="34" spans="1:21" ht="18" thickTop="1" thickBot="1">
      <c r="A34" s="52"/>
      <c r="B34" s="85"/>
      <c r="C34" s="85"/>
      <c r="D34" s="78"/>
      <c r="E34" s="78"/>
      <c r="F34" s="86"/>
      <c r="G34" s="86"/>
      <c r="H34" s="56"/>
    </row>
    <row r="35" spans="1:21" ht="20.25" thickTop="1" thickBot="1">
      <c r="A35" s="52"/>
      <c r="B35" s="253" t="s">
        <v>130</v>
      </c>
      <c r="C35" s="254"/>
      <c r="D35" s="254"/>
      <c r="E35" s="254"/>
      <c r="F35" s="254"/>
      <c r="G35" s="255"/>
      <c r="H35" s="56"/>
    </row>
    <row r="36" spans="1:21" ht="18" thickTop="1" thickBot="1">
      <c r="A36" s="52"/>
      <c r="B36" s="256" t="s">
        <v>125</v>
      </c>
      <c r="C36" s="257"/>
      <c r="D36" s="109" t="s">
        <v>126</v>
      </c>
      <c r="E36" s="109" t="s">
        <v>127</v>
      </c>
      <c r="F36" s="109" t="s">
        <v>70</v>
      </c>
      <c r="G36" s="110" t="s">
        <v>71</v>
      </c>
      <c r="H36" s="56"/>
    </row>
    <row r="37" spans="1:21" ht="18" thickTop="1" thickBot="1">
      <c r="A37" s="52"/>
      <c r="B37" s="258" t="s">
        <v>124</v>
      </c>
      <c r="C37" s="259"/>
      <c r="D37" s="111" t="s">
        <v>11</v>
      </c>
      <c r="E37" s="111">
        <f>E9-49</f>
        <v>562</v>
      </c>
      <c r="F37" s="81">
        <f>G7</f>
        <v>1</v>
      </c>
      <c r="G37" s="116">
        <f>ROUNDUP(F37/(ROUNDDOWN(VLOOKUP(D37,M19:N23,2,FALSE)/(E37+3),0)),0)</f>
        <v>1</v>
      </c>
      <c r="H37" s="56"/>
    </row>
    <row r="38" spans="1:21" ht="17.25" thickBot="1">
      <c r="A38" s="52"/>
      <c r="B38" s="249" t="s">
        <v>129</v>
      </c>
      <c r="C38" s="250"/>
      <c r="D38" s="107">
        <v>308945</v>
      </c>
      <c r="E38" s="107" t="s">
        <v>83</v>
      </c>
      <c r="F38" s="251">
        <f>2*G7</f>
        <v>2</v>
      </c>
      <c r="G38" s="252"/>
      <c r="H38" s="56"/>
    </row>
    <row r="39" spans="1:21" ht="17.25" thickBot="1">
      <c r="A39" s="52"/>
      <c r="B39" s="249" t="s">
        <v>128</v>
      </c>
      <c r="C39" s="250"/>
      <c r="D39" s="107">
        <v>301086</v>
      </c>
      <c r="E39" s="107" t="s">
        <v>83</v>
      </c>
      <c r="F39" s="251">
        <f>2*G7</f>
        <v>2</v>
      </c>
      <c r="G39" s="252"/>
      <c r="H39" s="56"/>
    </row>
    <row r="40" spans="1:21" ht="17.25" thickBot="1">
      <c r="A40" s="52"/>
      <c r="B40" s="268" t="s">
        <v>132</v>
      </c>
      <c r="C40" s="269"/>
      <c r="D40" s="113">
        <v>317077</v>
      </c>
      <c r="E40" s="113" t="s">
        <v>131</v>
      </c>
      <c r="F40" s="276">
        <f>C12*G7*2*20</f>
        <v>480</v>
      </c>
      <c r="G40" s="277"/>
      <c r="H40" s="56"/>
    </row>
    <row r="41" spans="1:21" s="46" customFormat="1" ht="17.25" thickBot="1">
      <c r="A41" s="52"/>
      <c r="B41" s="272" t="s">
        <v>86</v>
      </c>
      <c r="C41" s="273"/>
      <c r="D41" s="112">
        <v>309327</v>
      </c>
      <c r="E41" s="112" t="s">
        <v>83</v>
      </c>
      <c r="F41" s="274">
        <f>2*G7</f>
        <v>2</v>
      </c>
      <c r="G41" s="275"/>
      <c r="H41" s="56"/>
      <c r="I41" s="173"/>
      <c r="J41" s="173"/>
      <c r="K41" s="173"/>
      <c r="L41" s="173"/>
      <c r="M41" s="173"/>
      <c r="N41" s="173"/>
      <c r="O41" s="173"/>
      <c r="P41" s="173"/>
      <c r="Q41" s="173"/>
      <c r="R41" s="173"/>
      <c r="S41" s="173"/>
      <c r="T41" s="173"/>
      <c r="U41" s="174"/>
    </row>
    <row r="42" spans="1:21" ht="17.25" thickTop="1">
      <c r="A42" s="33"/>
      <c r="B42" s="11"/>
      <c r="C42" s="11"/>
      <c r="D42" s="11"/>
      <c r="E42" s="11"/>
      <c r="F42" s="11"/>
      <c r="G42" s="11"/>
      <c r="H42" s="34"/>
    </row>
    <row r="43" spans="1:21" ht="16.5">
      <c r="A43" s="33"/>
      <c r="B43" s="11"/>
      <c r="C43" s="11"/>
      <c r="D43" s="11"/>
      <c r="E43" s="11"/>
      <c r="F43" s="11"/>
      <c r="G43" s="11"/>
      <c r="H43" s="34"/>
    </row>
    <row r="44" spans="1:21" ht="16.5" customHeight="1">
      <c r="A44" s="33"/>
      <c r="B44" s="11"/>
      <c r="C44" s="11"/>
      <c r="D44" s="11"/>
      <c r="E44" s="11"/>
      <c r="F44" s="11"/>
      <c r="G44" s="11"/>
      <c r="H44" s="37"/>
    </row>
    <row r="45" spans="1:21" ht="15" customHeight="1">
      <c r="A45" s="38"/>
      <c r="B45" s="11"/>
      <c r="C45" s="11"/>
      <c r="D45" s="11"/>
      <c r="E45" s="11"/>
      <c r="F45" s="11"/>
      <c r="G45" s="11"/>
      <c r="H45" s="37"/>
    </row>
    <row r="46" spans="1:21" ht="15" customHeight="1">
      <c r="A46" s="38"/>
      <c r="B46" s="11"/>
      <c r="C46" s="11"/>
      <c r="D46" s="11"/>
      <c r="E46" s="11"/>
      <c r="F46" s="11"/>
      <c r="G46" s="11"/>
      <c r="H46" s="37"/>
    </row>
    <row r="47" spans="1:21" ht="15" customHeight="1">
      <c r="A47" s="38"/>
      <c r="B47" s="11"/>
      <c r="C47" s="11"/>
      <c r="D47" s="11"/>
      <c r="E47" s="11"/>
      <c r="F47" s="11"/>
      <c r="G47" s="11"/>
      <c r="H47" s="37"/>
    </row>
    <row r="48" spans="1:21" ht="15" customHeight="1">
      <c r="A48" s="38"/>
      <c r="B48" s="11"/>
      <c r="C48" s="11"/>
      <c r="D48" s="11"/>
      <c r="E48" s="11"/>
      <c r="F48" s="11"/>
      <c r="G48" s="11"/>
      <c r="H48" s="37"/>
    </row>
    <row r="49" spans="1:8" ht="15" customHeight="1">
      <c r="A49" s="38"/>
      <c r="B49" s="11"/>
      <c r="C49" s="11"/>
      <c r="D49" s="11"/>
      <c r="E49" s="11"/>
      <c r="F49" s="11"/>
      <c r="G49" s="11"/>
      <c r="H49" s="37"/>
    </row>
    <row r="50" spans="1:8" ht="15" customHeight="1">
      <c r="A50" s="38"/>
      <c r="B50" s="11"/>
      <c r="C50" s="11"/>
      <c r="D50" s="11"/>
      <c r="E50" s="11"/>
      <c r="F50" s="11"/>
      <c r="G50" s="11"/>
      <c r="H50" s="37"/>
    </row>
    <row r="51" spans="1:8" ht="15" customHeight="1">
      <c r="A51" s="38"/>
      <c r="B51" s="11"/>
      <c r="C51" s="11"/>
      <c r="D51" s="11"/>
      <c r="E51" s="11"/>
      <c r="F51" s="11"/>
      <c r="G51" s="11"/>
      <c r="H51" s="37"/>
    </row>
    <row r="52" spans="1:8" ht="15" customHeight="1">
      <c r="A52" s="38"/>
      <c r="B52" s="11"/>
      <c r="C52" s="11"/>
      <c r="D52" s="11"/>
      <c r="E52" s="11"/>
      <c r="F52" s="11"/>
      <c r="G52" s="11"/>
      <c r="H52" s="37"/>
    </row>
    <row r="53" spans="1:8" ht="15" customHeight="1">
      <c r="A53" s="38"/>
      <c r="B53" s="11"/>
      <c r="C53" s="11"/>
      <c r="D53" s="11"/>
      <c r="E53" s="11"/>
      <c r="F53" s="11"/>
      <c r="G53" s="11"/>
      <c r="H53" s="37"/>
    </row>
    <row r="54" spans="1:8" ht="15" customHeight="1">
      <c r="A54" s="38"/>
      <c r="B54" s="11"/>
      <c r="C54" s="11"/>
      <c r="D54" s="11"/>
      <c r="E54" s="11"/>
      <c r="F54" s="11"/>
      <c r="G54" s="11"/>
      <c r="H54" s="37"/>
    </row>
    <row r="55" spans="1:8" ht="15" customHeight="1">
      <c r="A55" s="38"/>
      <c r="B55" s="11"/>
      <c r="C55" s="11"/>
      <c r="D55" s="11"/>
      <c r="E55" s="11"/>
      <c r="F55" s="11"/>
      <c r="G55" s="11"/>
      <c r="H55" s="37"/>
    </row>
    <row r="56" spans="1:8" ht="15" customHeight="1">
      <c r="A56" s="38"/>
      <c r="B56" s="11"/>
      <c r="C56" s="11"/>
      <c r="D56" s="11"/>
      <c r="E56" s="11"/>
      <c r="F56" s="11"/>
      <c r="G56" s="11"/>
      <c r="H56" s="37"/>
    </row>
    <row r="57" spans="1:8" ht="15" customHeight="1">
      <c r="A57" s="38"/>
      <c r="B57" s="11"/>
      <c r="C57" s="11"/>
      <c r="D57" s="11"/>
      <c r="E57" s="11"/>
      <c r="F57" s="11"/>
      <c r="G57" s="11"/>
      <c r="H57" s="37"/>
    </row>
    <row r="58" spans="1:8" ht="15" customHeight="1">
      <c r="A58" s="38"/>
      <c r="B58" s="11"/>
      <c r="C58" s="11"/>
      <c r="D58" s="11"/>
      <c r="E58" s="11"/>
      <c r="F58" s="11"/>
      <c r="G58" s="11"/>
      <c r="H58" s="37"/>
    </row>
    <row r="59" spans="1:8" ht="15" customHeight="1">
      <c r="A59" s="38"/>
      <c r="B59" s="11"/>
      <c r="C59" s="11"/>
      <c r="D59" s="11"/>
      <c r="E59" s="11"/>
      <c r="F59" s="11"/>
      <c r="G59" s="11"/>
      <c r="H59" s="37"/>
    </row>
    <row r="60" spans="1:8" ht="15" customHeight="1">
      <c r="A60" s="38"/>
      <c r="B60" s="11"/>
      <c r="C60" s="11"/>
      <c r="D60" s="11"/>
      <c r="E60" s="11"/>
      <c r="F60" s="11"/>
      <c r="G60" s="11"/>
      <c r="H60" s="37"/>
    </row>
    <row r="61" spans="1:8" ht="15" customHeight="1">
      <c r="A61" s="38"/>
      <c r="B61" s="11"/>
      <c r="C61" s="11"/>
      <c r="D61" s="11"/>
      <c r="E61" s="11"/>
      <c r="F61" s="11"/>
      <c r="G61" s="11"/>
      <c r="H61" s="37"/>
    </row>
    <row r="62" spans="1:8" ht="15" customHeight="1">
      <c r="A62" s="38"/>
      <c r="B62" s="11"/>
      <c r="C62" s="11"/>
      <c r="D62" s="11"/>
      <c r="E62" s="11"/>
      <c r="F62" s="11"/>
      <c r="G62" s="11"/>
      <c r="H62" s="37"/>
    </row>
    <row r="63" spans="1:8" ht="15" customHeight="1">
      <c r="A63" s="38"/>
      <c r="B63" s="11"/>
      <c r="C63" s="11"/>
      <c r="D63" s="11"/>
      <c r="E63" s="11"/>
      <c r="F63" s="11"/>
      <c r="G63" s="97"/>
      <c r="H63" s="37"/>
    </row>
    <row r="64" spans="1:8" ht="15" customHeight="1">
      <c r="A64" s="38"/>
      <c r="H64" s="37"/>
    </row>
    <row r="65" spans="1:8" ht="15" customHeight="1">
      <c r="A65" s="38"/>
      <c r="H65" s="37"/>
    </row>
    <row r="66" spans="1:8" ht="15" customHeight="1">
      <c r="A66" s="38"/>
      <c r="H66" s="37"/>
    </row>
    <row r="67" spans="1:8">
      <c r="A67" s="38"/>
      <c r="B67" s="39"/>
      <c r="C67" s="39"/>
      <c r="D67" s="35"/>
      <c r="E67" s="35"/>
      <c r="F67" s="35"/>
      <c r="G67" s="35"/>
      <c r="H67" s="37"/>
    </row>
    <row r="68" spans="1:8">
      <c r="A68" s="38"/>
      <c r="B68" s="182" t="s">
        <v>160</v>
      </c>
      <c r="C68" s="234"/>
      <c r="D68" s="234"/>
      <c r="E68" s="234"/>
      <c r="F68" s="234"/>
      <c r="G68" s="234"/>
      <c r="H68" s="37"/>
    </row>
    <row r="69" spans="1:8">
      <c r="A69" s="38"/>
      <c r="B69" s="234"/>
      <c r="C69" s="234"/>
      <c r="D69" s="234"/>
      <c r="E69" s="234"/>
      <c r="F69" s="234"/>
      <c r="G69" s="234"/>
      <c r="H69" s="37"/>
    </row>
    <row r="70" spans="1:8">
      <c r="A70" s="38"/>
      <c r="B70" s="234"/>
      <c r="C70" s="234"/>
      <c r="D70" s="234"/>
      <c r="E70" s="234"/>
      <c r="F70" s="234"/>
      <c r="G70" s="234"/>
      <c r="H70" s="37"/>
    </row>
    <row r="71" spans="1:8" ht="15.75" thickBot="1">
      <c r="A71" s="40"/>
      <c r="B71" s="41"/>
      <c r="C71" s="41"/>
      <c r="D71" s="42"/>
      <c r="E71" s="42"/>
      <c r="F71" s="42"/>
      <c r="G71" s="42"/>
      <c r="H71" s="43"/>
    </row>
    <row r="72" spans="1:8" ht="15.75" thickTop="1"/>
  </sheetData>
  <sheetProtection password="DE70" sheet="1" objects="1" scenarios="1"/>
  <mergeCells count="47">
    <mergeCell ref="B38:C38"/>
    <mergeCell ref="F38:G38"/>
    <mergeCell ref="B39:C39"/>
    <mergeCell ref="F39:G39"/>
    <mergeCell ref="B41:C41"/>
    <mergeCell ref="F41:G41"/>
    <mergeCell ref="B40:C40"/>
    <mergeCell ref="F40:G40"/>
    <mergeCell ref="B33:C33"/>
    <mergeCell ref="F33:G33"/>
    <mergeCell ref="B35:G35"/>
    <mergeCell ref="B36:C36"/>
    <mergeCell ref="B37:C37"/>
    <mergeCell ref="B31:C31"/>
    <mergeCell ref="F31:G31"/>
    <mergeCell ref="B32:C32"/>
    <mergeCell ref="F32:G32"/>
    <mergeCell ref="B30:C30"/>
    <mergeCell ref="F30:G30"/>
    <mergeCell ref="B27:C27"/>
    <mergeCell ref="F27:G27"/>
    <mergeCell ref="B28:C28"/>
    <mergeCell ref="F28:G28"/>
    <mergeCell ref="B29:C29"/>
    <mergeCell ref="F29:G29"/>
    <mergeCell ref="B20:C20"/>
    <mergeCell ref="B23:G23"/>
    <mergeCell ref="B24:C24"/>
    <mergeCell ref="F24:G24"/>
    <mergeCell ref="B25:C25"/>
    <mergeCell ref="F25:G25"/>
    <mergeCell ref="B68:G70"/>
    <mergeCell ref="A5:H5"/>
    <mergeCell ref="A1:H2"/>
    <mergeCell ref="A3:C3"/>
    <mergeCell ref="D3:H3"/>
    <mergeCell ref="A4:C4"/>
    <mergeCell ref="D4:H4"/>
    <mergeCell ref="B26:C26"/>
    <mergeCell ref="F26:G26"/>
    <mergeCell ref="B16:G16"/>
    <mergeCell ref="B17:C17"/>
    <mergeCell ref="B18:C18"/>
    <mergeCell ref="B19:C19"/>
    <mergeCell ref="D19:D20"/>
    <mergeCell ref="F19:F20"/>
    <mergeCell ref="G19:G20"/>
  </mergeCells>
  <dataValidations disablePrompts="1" count="4">
    <dataValidation type="list" allowBlank="1" showInputMessage="1" showErrorMessage="1" sqref="D13:F13">
      <formula1>SpH</formula1>
    </dataValidation>
    <dataValidation type="list" allowBlank="1" showInputMessage="1" showErrorMessage="1" sqref="B12:B13">
      <formula1>$O$7:$O$9</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31496062992125984" bottom="0.31496062992125984" header="0" footer="0"/>
  <pageSetup paperSize="9" scale="59" orientation="portrait" r:id="rId1"/>
  <headerFooter>
    <oddFooter>&amp;CVersion 1.2 - Jan' 2018&amp;R&amp;A</oddFooter>
  </headerFooter>
  <drawing r:id="rId2"/>
</worksheet>
</file>

<file path=xl/worksheets/sheet5.xml><?xml version="1.0" encoding="utf-8"?>
<worksheet xmlns="http://schemas.openxmlformats.org/spreadsheetml/2006/main" xmlns:r="http://schemas.openxmlformats.org/officeDocument/2006/relationships">
  <dimension ref="A1:V69"/>
  <sheetViews>
    <sheetView showGridLines="0" showWhiteSpace="0" view="pageLayout" zoomScaleNormal="100" zoomScaleSheetLayoutView="100" workbookViewId="0">
      <selection sqref="A1:H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0" width="9.125" style="124"/>
    <col min="21" max="16384" width="9.125" style="13"/>
  </cols>
  <sheetData>
    <row r="1" spans="1:22" ht="16.5" thickTop="1" thickBot="1">
      <c r="A1" s="221"/>
      <c r="B1" s="222"/>
      <c r="C1" s="222"/>
      <c r="D1" s="222"/>
      <c r="E1" s="222"/>
      <c r="F1" s="222"/>
      <c r="G1" s="222"/>
      <c r="H1" s="238"/>
      <c r="U1" s="124"/>
      <c r="V1" s="124"/>
    </row>
    <row r="2" spans="1:22" ht="111.75" customHeight="1" thickBot="1">
      <c r="A2" s="223"/>
      <c r="B2" s="224"/>
      <c r="C2" s="224"/>
      <c r="D2" s="224"/>
      <c r="E2" s="224"/>
      <c r="F2" s="224"/>
      <c r="G2" s="224"/>
      <c r="H2" s="239"/>
      <c r="U2" s="124"/>
      <c r="V2" s="124"/>
    </row>
    <row r="3" spans="1:22" ht="41.25" customHeight="1" thickBot="1">
      <c r="A3" s="240" t="s">
        <v>152</v>
      </c>
      <c r="B3" s="241"/>
      <c r="C3" s="241"/>
      <c r="D3" s="242" t="s">
        <v>151</v>
      </c>
      <c r="E3" s="243"/>
      <c r="F3" s="243"/>
      <c r="G3" s="243"/>
      <c r="H3" s="244"/>
      <c r="U3" s="124"/>
      <c r="V3" s="124"/>
    </row>
    <row r="4" spans="1:22" ht="75" customHeight="1" thickBot="1">
      <c r="A4" s="245" t="s">
        <v>153</v>
      </c>
      <c r="B4" s="246"/>
      <c r="C4" s="247"/>
      <c r="D4" s="241" t="s">
        <v>154</v>
      </c>
      <c r="E4" s="241"/>
      <c r="F4" s="241"/>
      <c r="G4" s="241"/>
      <c r="H4" s="248"/>
      <c r="U4" s="124"/>
      <c r="V4" s="124"/>
    </row>
    <row r="5" spans="1:22" ht="37.5" customHeight="1" thickTop="1" thickBot="1">
      <c r="A5" s="235" t="s">
        <v>114</v>
      </c>
      <c r="B5" s="236"/>
      <c r="C5" s="236"/>
      <c r="D5" s="236"/>
      <c r="E5" s="236"/>
      <c r="F5" s="236"/>
      <c r="G5" s="236"/>
      <c r="H5" s="237"/>
      <c r="U5" s="124"/>
      <c r="V5" s="124"/>
    </row>
    <row r="6" spans="1:22" ht="18" thickTop="1" thickBot="1">
      <c r="A6" s="48"/>
      <c r="B6" s="49"/>
      <c r="C6" s="49"/>
      <c r="D6" s="50"/>
      <c r="E6" s="50"/>
      <c r="F6" s="50"/>
      <c r="G6" s="50"/>
      <c r="H6" s="51"/>
      <c r="M6" s="124" t="s">
        <v>53</v>
      </c>
      <c r="O6" s="124" t="s">
        <v>54</v>
      </c>
      <c r="U6" s="124"/>
      <c r="V6" s="124"/>
    </row>
    <row r="7" spans="1:22" ht="18" thickTop="1" thickBot="1">
      <c r="A7" s="52"/>
      <c r="B7" s="53" t="s">
        <v>90</v>
      </c>
      <c r="C7" s="31">
        <v>500</v>
      </c>
      <c r="D7" s="54" t="s">
        <v>92</v>
      </c>
      <c r="E7" s="32">
        <v>810</v>
      </c>
      <c r="F7" s="54" t="s">
        <v>62</v>
      </c>
      <c r="G7" s="87">
        <v>1</v>
      </c>
      <c r="H7" s="56"/>
      <c r="M7" s="124">
        <v>10</v>
      </c>
      <c r="O7" s="124">
        <v>38</v>
      </c>
      <c r="U7" s="124"/>
      <c r="V7" s="124"/>
    </row>
    <row r="8" spans="1:22" ht="18" thickTop="1" thickBot="1">
      <c r="A8" s="57"/>
      <c r="B8" s="58"/>
      <c r="C8" s="59"/>
      <c r="D8" s="60"/>
      <c r="E8" s="61"/>
      <c r="F8" s="62"/>
      <c r="G8" s="63"/>
      <c r="H8" s="56"/>
      <c r="M8" s="124">
        <v>20</v>
      </c>
      <c r="O8" s="124">
        <v>65</v>
      </c>
      <c r="U8" s="124"/>
      <c r="V8" s="124"/>
    </row>
    <row r="9" spans="1:22" ht="30" thickTop="1" thickBot="1">
      <c r="A9" s="52"/>
      <c r="B9" s="104" t="s">
        <v>161</v>
      </c>
      <c r="C9" s="64">
        <f>(C7+50)*G7+50</f>
        <v>600</v>
      </c>
      <c r="D9" s="104" t="s">
        <v>164</v>
      </c>
      <c r="E9" s="64">
        <f>(B12*C12)+((C12-1)*G12)+100</f>
        <v>810</v>
      </c>
      <c r="F9" s="104" t="s">
        <v>163</v>
      </c>
      <c r="G9" s="64">
        <f>(B12*C12)+((C12-1)*G12)+158</f>
        <v>868</v>
      </c>
      <c r="H9" s="56"/>
      <c r="O9" s="124">
        <v>100</v>
      </c>
      <c r="U9" s="124"/>
      <c r="V9" s="124"/>
    </row>
    <row r="10" spans="1:22" ht="18" thickTop="1" thickBot="1">
      <c r="A10" s="52"/>
      <c r="B10" s="102" t="s">
        <v>158</v>
      </c>
      <c r="C10" s="66"/>
      <c r="D10" s="65"/>
      <c r="E10" s="101" t="s">
        <v>157</v>
      </c>
      <c r="F10" s="65"/>
      <c r="G10" s="101" t="s">
        <v>157</v>
      </c>
      <c r="H10" s="56"/>
      <c r="U10" s="124"/>
      <c r="V10" s="124"/>
    </row>
    <row r="11" spans="1:22" ht="18" thickTop="1" thickBot="1">
      <c r="A11" s="52"/>
      <c r="B11" s="67" t="s">
        <v>55</v>
      </c>
      <c r="C11" s="68" t="s">
        <v>56</v>
      </c>
      <c r="D11" s="69" t="s">
        <v>57</v>
      </c>
      <c r="E11" s="69" t="s">
        <v>58</v>
      </c>
      <c r="F11" s="69" t="s">
        <v>59</v>
      </c>
      <c r="G11" s="70" t="s">
        <v>60</v>
      </c>
      <c r="H11" s="56"/>
      <c r="U11" s="124"/>
      <c r="V11" s="124"/>
    </row>
    <row r="12" spans="1:22" ht="17.25" thickBot="1">
      <c r="A12" s="52"/>
      <c r="B12" s="28">
        <v>38</v>
      </c>
      <c r="C12" s="29">
        <v>15</v>
      </c>
      <c r="D12" s="30">
        <v>10</v>
      </c>
      <c r="E12" s="30"/>
      <c r="F12" s="30"/>
      <c r="G12" s="71">
        <f>D12+E12+F12</f>
        <v>10</v>
      </c>
      <c r="H12" s="56"/>
      <c r="M12" s="124" t="s">
        <v>63</v>
      </c>
      <c r="N12" s="125">
        <f>(C12-1)*2</f>
        <v>28</v>
      </c>
      <c r="U12" s="124"/>
      <c r="V12" s="124"/>
    </row>
    <row r="13" spans="1:22" ht="18" thickTop="1" thickBot="1">
      <c r="A13" s="57"/>
      <c r="B13" s="72"/>
      <c r="C13" s="73"/>
      <c r="D13" s="74"/>
      <c r="E13" s="74"/>
      <c r="F13" s="74"/>
      <c r="G13" s="75"/>
      <c r="H13" s="76"/>
      <c r="M13" s="124" t="s">
        <v>64</v>
      </c>
      <c r="N13" s="124">
        <f>IF(D12=10,N12,"")</f>
        <v>28</v>
      </c>
      <c r="O13" s="124" t="s">
        <v>65</v>
      </c>
      <c r="P13" s="124" t="str">
        <f>IF(D12=20,N12,"")</f>
        <v/>
      </c>
      <c r="U13" s="124"/>
      <c r="V13" s="124"/>
    </row>
    <row r="14" spans="1:22" ht="18" thickTop="1" thickBot="1">
      <c r="A14" s="52"/>
      <c r="B14" s="54" t="s">
        <v>61</v>
      </c>
      <c r="C14" s="77">
        <f>((((E7-100)-B12))/(B12+G12))+1</f>
        <v>15</v>
      </c>
      <c r="D14" s="78"/>
      <c r="E14" s="79"/>
      <c r="F14" s="79"/>
      <c r="G14" s="78"/>
      <c r="H14" s="56"/>
      <c r="M14" s="124" t="s">
        <v>67</v>
      </c>
      <c r="N14" s="124" t="str">
        <f>IF(E12=10,N12,"")</f>
        <v/>
      </c>
      <c r="O14" s="124" t="s">
        <v>68</v>
      </c>
      <c r="P14" s="124" t="str">
        <f>IF(E12=20,N12,"")</f>
        <v/>
      </c>
      <c r="U14" s="124"/>
      <c r="V14" s="124"/>
    </row>
    <row r="15" spans="1:22" ht="18" thickTop="1" thickBot="1">
      <c r="A15" s="52"/>
      <c r="B15" s="80"/>
      <c r="C15" s="80"/>
      <c r="D15" s="78"/>
      <c r="E15" s="78"/>
      <c r="F15" s="78"/>
      <c r="G15" s="78"/>
      <c r="H15" s="56"/>
      <c r="M15" s="124" t="s">
        <v>72</v>
      </c>
      <c r="N15" s="124" t="str">
        <f>IF(F12=10,N12,"")</f>
        <v/>
      </c>
      <c r="O15" s="124" t="s">
        <v>73</v>
      </c>
      <c r="P15" s="124" t="str">
        <f>IF(F12=20,N12,"")</f>
        <v/>
      </c>
      <c r="U15" s="124"/>
      <c r="V15" s="124"/>
    </row>
    <row r="16" spans="1:22" ht="20.25" thickTop="1" thickBot="1">
      <c r="A16" s="52"/>
      <c r="B16" s="253" t="s">
        <v>66</v>
      </c>
      <c r="C16" s="254"/>
      <c r="D16" s="254"/>
      <c r="E16" s="254"/>
      <c r="F16" s="254"/>
      <c r="G16" s="255"/>
      <c r="H16" s="56"/>
      <c r="M16" s="124" t="s">
        <v>75</v>
      </c>
      <c r="N16" s="124">
        <f>SUM(N13:N15)</f>
        <v>28</v>
      </c>
      <c r="O16" s="124" t="s">
        <v>76</v>
      </c>
      <c r="P16" s="124">
        <f>SUM(P13:P15)</f>
        <v>0</v>
      </c>
      <c r="U16" s="124"/>
      <c r="V16" s="124"/>
    </row>
    <row r="17" spans="1:22" ht="18" thickTop="1" thickBot="1">
      <c r="A17" s="52"/>
      <c r="B17" s="256" t="s">
        <v>47</v>
      </c>
      <c r="C17" s="257"/>
      <c r="D17" s="109" t="s">
        <v>69</v>
      </c>
      <c r="E17" s="109" t="s">
        <v>1</v>
      </c>
      <c r="F17" s="109" t="s">
        <v>70</v>
      </c>
      <c r="G17" s="110" t="s">
        <v>71</v>
      </c>
      <c r="H17" s="56"/>
      <c r="U17" s="124"/>
      <c r="V17" s="124"/>
    </row>
    <row r="18" spans="1:22" ht="18" thickTop="1" thickBot="1">
      <c r="A18" s="52"/>
      <c r="B18" s="258" t="s">
        <v>74</v>
      </c>
      <c r="C18" s="259"/>
      <c r="D18" s="111" t="s">
        <v>14</v>
      </c>
      <c r="E18" s="111">
        <f>E9-100</f>
        <v>710</v>
      </c>
      <c r="F18" s="81">
        <f>2*G7</f>
        <v>2</v>
      </c>
      <c r="G18" s="116">
        <f>ROUNDUP(F18/(ROUNDDOWN(VLOOKUP(D18,M19:N23,2,FALSE)/(E18+3),0)),0)</f>
        <v>1</v>
      </c>
      <c r="H18" s="56"/>
      <c r="U18" s="124"/>
      <c r="V18" s="124"/>
    </row>
    <row r="19" spans="1:22" ht="17.25" thickBot="1">
      <c r="A19" s="52"/>
      <c r="B19" s="249" t="s">
        <v>155</v>
      </c>
      <c r="C19" s="250"/>
      <c r="D19" s="278" t="s">
        <v>12</v>
      </c>
      <c r="E19" s="107">
        <f>E9</f>
        <v>810</v>
      </c>
      <c r="F19" s="260">
        <f>G7+1</f>
        <v>2</v>
      </c>
      <c r="G19" s="281">
        <f>IF(((E21*F21)+(E20*F19)&lt;VLOOKUP(D19,M19:N23,2,FALSE)),ROUNDUP(((F21+F19)/2)/(ROUNDDOWN(VLOOKUP(D19,M19:N23,2,FALSE)/(E21+E20+6),0)),0),ROUNDUP(F21/(ROUNDDOWN(VLOOKUP(D19,M19:N23,2,FALSE)/(E21+3),0)),0)+ROUNDUP(F19/(ROUNDDOWN(VLOOKUP(D19,M19:N23,2,FALSE)/(E20+3),0)),0))</f>
        <v>1</v>
      </c>
      <c r="H19" s="56"/>
      <c r="M19" s="124" t="s">
        <v>14</v>
      </c>
      <c r="N19" s="124">
        <v>6500</v>
      </c>
      <c r="U19" s="124"/>
      <c r="V19" s="124"/>
    </row>
    <row r="20" spans="1:22" ht="17.25" thickBot="1">
      <c r="A20" s="52"/>
      <c r="B20" s="249" t="s">
        <v>156</v>
      </c>
      <c r="C20" s="250"/>
      <c r="D20" s="279"/>
      <c r="E20" s="107">
        <f>G9</f>
        <v>868</v>
      </c>
      <c r="F20" s="251"/>
      <c r="G20" s="282"/>
      <c r="H20" s="56"/>
      <c r="M20" s="124" t="s">
        <v>12</v>
      </c>
      <c r="N20" s="124">
        <v>6500</v>
      </c>
      <c r="U20" s="124"/>
      <c r="V20" s="124"/>
    </row>
    <row r="21" spans="1:22" ht="17.25" thickBot="1">
      <c r="A21" s="52"/>
      <c r="B21" s="268" t="s">
        <v>89</v>
      </c>
      <c r="C21" s="269"/>
      <c r="D21" s="280"/>
      <c r="E21" s="113">
        <f>C7</f>
        <v>500</v>
      </c>
      <c r="F21" s="113">
        <f>2*G7</f>
        <v>2</v>
      </c>
      <c r="G21" s="283"/>
      <c r="H21" s="56"/>
      <c r="M21" s="124" t="s">
        <v>15</v>
      </c>
      <c r="N21" s="124">
        <v>6500</v>
      </c>
      <c r="U21" s="124"/>
      <c r="V21" s="124"/>
    </row>
    <row r="22" spans="1:22" ht="17.25" thickBot="1">
      <c r="A22" s="52"/>
      <c r="B22" s="82" t="s">
        <v>77</v>
      </c>
      <c r="C22" s="83" t="str">
        <f>IF(B12=100,"100 x 16 x 1.2mm",IF(B12=65,"65 x 16 x 1.2mm",IF(B12=38,"38 x 16 x 1.6mm","")))</f>
        <v>38 x 16 x 1.6mm</v>
      </c>
      <c r="D22" s="112" t="str">
        <f>IF(B12=100,"EP12022",IF(B12=65,"EQ6823",IF(B12=38,"EP7822","")))</f>
        <v>EP7822</v>
      </c>
      <c r="E22" s="112">
        <f>C7-12</f>
        <v>488</v>
      </c>
      <c r="F22" s="117">
        <f>C12*G7</f>
        <v>15</v>
      </c>
      <c r="G22" s="118">
        <f>ROUNDUP(F22/(ROUNDDOWN(VLOOKUP(D22,M19:N23,2,FALSE)/(E22+3),0)),0)</f>
        <v>2</v>
      </c>
      <c r="H22" s="56"/>
      <c r="M22" s="124" t="s">
        <v>11</v>
      </c>
      <c r="N22" s="124">
        <v>6500</v>
      </c>
      <c r="U22" s="124"/>
      <c r="V22" s="124"/>
    </row>
    <row r="23" spans="1:22" ht="20.25" customHeight="1" thickTop="1" thickBot="1">
      <c r="A23" s="52"/>
      <c r="B23" s="80"/>
      <c r="C23" s="80"/>
      <c r="D23" s="78"/>
      <c r="E23" s="78"/>
      <c r="F23" s="78"/>
      <c r="G23" s="78"/>
      <c r="H23" s="56"/>
      <c r="M23" s="124" t="s">
        <v>10</v>
      </c>
      <c r="N23" s="124">
        <v>6500</v>
      </c>
      <c r="U23" s="124"/>
      <c r="V23" s="124"/>
    </row>
    <row r="24" spans="1:22" ht="20.25" thickTop="1" thickBot="1">
      <c r="A24" s="52"/>
      <c r="B24" s="253" t="s">
        <v>78</v>
      </c>
      <c r="C24" s="254"/>
      <c r="D24" s="254"/>
      <c r="E24" s="254"/>
      <c r="F24" s="254"/>
      <c r="G24" s="255"/>
      <c r="H24" s="56"/>
      <c r="U24" s="124"/>
      <c r="V24" s="124"/>
    </row>
    <row r="25" spans="1:22" ht="18" thickTop="1" thickBot="1">
      <c r="A25" s="52"/>
      <c r="B25" s="256" t="s">
        <v>79</v>
      </c>
      <c r="C25" s="257"/>
      <c r="D25" s="109" t="s">
        <v>80</v>
      </c>
      <c r="E25" s="109" t="s">
        <v>81</v>
      </c>
      <c r="F25" s="263" t="s">
        <v>70</v>
      </c>
      <c r="G25" s="264"/>
      <c r="H25" s="56"/>
      <c r="U25" s="124"/>
      <c r="V25" s="124"/>
    </row>
    <row r="26" spans="1:22" ht="18" thickTop="1" thickBot="1">
      <c r="A26" s="52"/>
      <c r="B26" s="249" t="s">
        <v>84</v>
      </c>
      <c r="C26" s="250"/>
      <c r="D26" s="107">
        <v>317671</v>
      </c>
      <c r="E26" s="107" t="s">
        <v>83</v>
      </c>
      <c r="F26" s="251">
        <f>N16*G7</f>
        <v>28</v>
      </c>
      <c r="G26" s="252"/>
      <c r="H26" s="56"/>
      <c r="U26" s="124"/>
      <c r="V26" s="124"/>
    </row>
    <row r="27" spans="1:22" ht="17.25" thickBot="1">
      <c r="A27" s="52"/>
      <c r="B27" s="249" t="s">
        <v>85</v>
      </c>
      <c r="C27" s="250"/>
      <c r="D27" s="107">
        <v>317672</v>
      </c>
      <c r="E27" s="107" t="s">
        <v>83</v>
      </c>
      <c r="F27" s="251">
        <f>P16*G7</f>
        <v>0</v>
      </c>
      <c r="G27" s="252"/>
      <c r="H27" s="56"/>
      <c r="U27" s="124"/>
      <c r="V27" s="124"/>
    </row>
    <row r="28" spans="1:22" ht="17.25" thickBot="1">
      <c r="A28" s="52"/>
      <c r="B28" s="249" t="s">
        <v>162</v>
      </c>
      <c r="C28" s="250"/>
      <c r="D28" s="107">
        <v>317676</v>
      </c>
      <c r="E28" s="107" t="s">
        <v>83</v>
      </c>
      <c r="F28" s="260">
        <f>N12*G7</f>
        <v>28</v>
      </c>
      <c r="G28" s="267"/>
      <c r="H28" s="56"/>
      <c r="S28" s="124">
        <f>E20*F19</f>
        <v>1736</v>
      </c>
      <c r="U28" s="124"/>
      <c r="V28" s="124"/>
    </row>
    <row r="29" spans="1:22" ht="17.25" thickBot="1">
      <c r="A29" s="52"/>
      <c r="B29" s="249" t="s">
        <v>87</v>
      </c>
      <c r="C29" s="250"/>
      <c r="D29" s="103" t="s">
        <v>159</v>
      </c>
      <c r="E29" s="107" t="s">
        <v>83</v>
      </c>
      <c r="F29" s="260">
        <f>MAX((2*(ROUNDUP((E18/300),0)+1)*G7),4)</f>
        <v>8</v>
      </c>
      <c r="G29" s="267"/>
      <c r="H29" s="56"/>
      <c r="S29" s="124">
        <f>E21*F21</f>
        <v>1000</v>
      </c>
      <c r="U29" s="124"/>
      <c r="V29" s="124"/>
    </row>
    <row r="30" spans="1:22" s="46" customFormat="1" ht="17.25" thickBot="1">
      <c r="A30" s="52"/>
      <c r="B30" s="268" t="s">
        <v>179</v>
      </c>
      <c r="C30" s="269"/>
      <c r="D30" s="103">
        <v>301086</v>
      </c>
      <c r="E30" s="107" t="s">
        <v>83</v>
      </c>
      <c r="F30" s="270">
        <f>G7*16</f>
        <v>16</v>
      </c>
      <c r="G30" s="271"/>
      <c r="H30" s="56"/>
      <c r="I30" s="124"/>
      <c r="J30" s="124"/>
      <c r="K30" s="124"/>
      <c r="L30" s="124"/>
      <c r="M30" s="124"/>
      <c r="N30" s="124"/>
      <c r="O30" s="124"/>
      <c r="P30" s="124"/>
      <c r="Q30" s="124"/>
      <c r="R30" s="124"/>
      <c r="S30" s="124"/>
      <c r="T30" s="124"/>
      <c r="U30" s="124"/>
      <c r="V30" s="124"/>
    </row>
    <row r="31" spans="1:22" ht="17.25" thickBot="1">
      <c r="A31" s="52"/>
      <c r="B31" s="268" t="s">
        <v>115</v>
      </c>
      <c r="C31" s="269"/>
      <c r="D31" s="107">
        <v>301620</v>
      </c>
      <c r="E31" s="107" t="s">
        <v>83</v>
      </c>
      <c r="F31" s="270">
        <f>4*G7</f>
        <v>4</v>
      </c>
      <c r="G31" s="271"/>
      <c r="H31" s="56"/>
      <c r="S31" s="124">
        <f>SUM(S28:S29)</f>
        <v>2736</v>
      </c>
      <c r="U31" s="124"/>
      <c r="V31" s="124"/>
    </row>
    <row r="32" spans="1:22" ht="17.25" thickBot="1">
      <c r="A32" s="52"/>
      <c r="B32" s="272" t="s">
        <v>23</v>
      </c>
      <c r="C32" s="273"/>
      <c r="D32" s="112">
        <v>301405</v>
      </c>
      <c r="E32" s="112" t="s">
        <v>83</v>
      </c>
      <c r="F32" s="274">
        <f>F19</f>
        <v>2</v>
      </c>
      <c r="G32" s="275"/>
      <c r="H32" s="56"/>
      <c r="U32" s="124"/>
      <c r="V32" s="124"/>
    </row>
    <row r="33" spans="1:22" ht="20.25" customHeight="1" thickTop="1" thickBot="1">
      <c r="A33" s="52"/>
      <c r="B33" s="85"/>
      <c r="C33" s="85"/>
      <c r="D33" s="78"/>
      <c r="E33" s="78"/>
      <c r="F33" s="86"/>
      <c r="G33" s="86"/>
      <c r="H33" s="56"/>
      <c r="U33" s="124"/>
      <c r="V33" s="124"/>
    </row>
    <row r="34" spans="1:22" ht="20.25" thickTop="1" thickBot="1">
      <c r="A34" s="52"/>
      <c r="B34" s="253" t="s">
        <v>130</v>
      </c>
      <c r="C34" s="254"/>
      <c r="D34" s="254"/>
      <c r="E34" s="254"/>
      <c r="F34" s="254"/>
      <c r="G34" s="255"/>
      <c r="H34" s="56"/>
      <c r="U34" s="124"/>
      <c r="V34" s="124"/>
    </row>
    <row r="35" spans="1:22" ht="18" thickTop="1" thickBot="1">
      <c r="A35" s="52"/>
      <c r="B35" s="256" t="s">
        <v>125</v>
      </c>
      <c r="C35" s="257"/>
      <c r="D35" s="109" t="s">
        <v>126</v>
      </c>
      <c r="E35" s="109" t="s">
        <v>127</v>
      </c>
      <c r="F35" s="109" t="s">
        <v>70</v>
      </c>
      <c r="G35" s="110" t="s">
        <v>71</v>
      </c>
      <c r="H35" s="56"/>
      <c r="U35" s="124"/>
      <c r="V35" s="124"/>
    </row>
    <row r="36" spans="1:22" ht="18" thickTop="1" thickBot="1">
      <c r="A36" s="52"/>
      <c r="B36" s="258" t="s">
        <v>124</v>
      </c>
      <c r="C36" s="259"/>
      <c r="D36" s="111" t="s">
        <v>11</v>
      </c>
      <c r="E36" s="111">
        <f>E9-104</f>
        <v>706</v>
      </c>
      <c r="F36" s="81">
        <f>G7</f>
        <v>1</v>
      </c>
      <c r="G36" s="116">
        <f>ROUNDUP(F36/(ROUNDDOWN(VLOOKUP(D36,M18:N22,2,FALSE)/(E36+3),0)),0)</f>
        <v>1</v>
      </c>
      <c r="H36" s="56"/>
      <c r="U36" s="124"/>
      <c r="V36" s="124"/>
    </row>
    <row r="37" spans="1:22" ht="17.25" thickBot="1">
      <c r="A37" s="52"/>
      <c r="B37" s="268" t="s">
        <v>129</v>
      </c>
      <c r="C37" s="269"/>
      <c r="D37" s="107">
        <v>308945</v>
      </c>
      <c r="E37" s="107" t="s">
        <v>83</v>
      </c>
      <c r="F37" s="251">
        <f>2*G7</f>
        <v>2</v>
      </c>
      <c r="G37" s="252"/>
      <c r="H37" s="56"/>
      <c r="U37" s="124"/>
      <c r="V37" s="124"/>
    </row>
    <row r="38" spans="1:22" ht="17.25" thickBot="1">
      <c r="A38" s="52"/>
      <c r="B38" s="249" t="s">
        <v>128</v>
      </c>
      <c r="C38" s="250"/>
      <c r="D38" s="107">
        <v>301086</v>
      </c>
      <c r="E38" s="107" t="s">
        <v>83</v>
      </c>
      <c r="F38" s="251">
        <f>2*G7</f>
        <v>2</v>
      </c>
      <c r="G38" s="252"/>
      <c r="H38" s="56"/>
      <c r="U38" s="124"/>
      <c r="V38" s="124"/>
    </row>
    <row r="39" spans="1:22" s="46" customFormat="1" ht="17.25" thickBot="1">
      <c r="A39" s="52"/>
      <c r="B39" s="268" t="s">
        <v>132</v>
      </c>
      <c r="C39" s="269"/>
      <c r="D39" s="113">
        <v>317077</v>
      </c>
      <c r="E39" s="113" t="s">
        <v>131</v>
      </c>
      <c r="F39" s="276">
        <f>C12*G7*2*20</f>
        <v>600</v>
      </c>
      <c r="G39" s="277"/>
      <c r="H39" s="56"/>
      <c r="I39" s="124"/>
      <c r="J39" s="124"/>
      <c r="K39" s="124"/>
      <c r="L39" s="124"/>
      <c r="M39" s="124"/>
      <c r="N39" s="124"/>
      <c r="O39" s="124"/>
      <c r="P39" s="124"/>
      <c r="Q39" s="124"/>
      <c r="R39" s="124"/>
      <c r="S39" s="124"/>
      <c r="T39" s="124"/>
      <c r="U39" s="124"/>
      <c r="V39" s="124"/>
    </row>
    <row r="40" spans="1:22" ht="17.25" thickBot="1">
      <c r="A40" s="52"/>
      <c r="B40" s="272" t="s">
        <v>86</v>
      </c>
      <c r="C40" s="273"/>
      <c r="D40" s="112">
        <v>309327</v>
      </c>
      <c r="E40" s="112" t="s">
        <v>83</v>
      </c>
      <c r="F40" s="274">
        <f>2*G7</f>
        <v>2</v>
      </c>
      <c r="G40" s="275"/>
      <c r="H40" s="56"/>
      <c r="U40" s="124"/>
      <c r="V40" s="124"/>
    </row>
    <row r="41" spans="1:22" ht="17.25" thickTop="1">
      <c r="A41" s="33"/>
      <c r="B41" s="36"/>
      <c r="C41" s="36"/>
      <c r="D41" s="10"/>
      <c r="E41" s="10"/>
      <c r="F41" s="10"/>
      <c r="G41" s="10"/>
      <c r="H41" s="34"/>
      <c r="U41" s="124"/>
      <c r="V41" s="124"/>
    </row>
    <row r="42" spans="1:22" ht="16.5">
      <c r="A42" s="33"/>
      <c r="B42" s="36"/>
      <c r="C42" s="36"/>
      <c r="D42" s="10"/>
      <c r="E42" s="10"/>
      <c r="F42" s="10"/>
      <c r="G42" s="11"/>
      <c r="H42" s="34"/>
      <c r="U42" s="124"/>
      <c r="V42" s="124"/>
    </row>
    <row r="43" spans="1:22" s="46" customFormat="1" ht="16.5">
      <c r="A43" s="33"/>
      <c r="B43" s="36"/>
      <c r="C43" s="36"/>
      <c r="D43" s="10"/>
      <c r="E43" s="10"/>
      <c r="F43" s="10"/>
      <c r="G43" s="11"/>
      <c r="H43" s="34"/>
      <c r="I43" s="124"/>
      <c r="J43" s="124"/>
      <c r="K43" s="124"/>
      <c r="L43" s="124"/>
      <c r="M43" s="124"/>
      <c r="N43" s="124"/>
      <c r="O43" s="124"/>
      <c r="P43" s="124"/>
      <c r="Q43" s="124"/>
      <c r="R43" s="124"/>
      <c r="S43" s="124"/>
      <c r="T43" s="124"/>
      <c r="U43" s="124"/>
      <c r="V43" s="124"/>
    </row>
    <row r="44" spans="1:22" s="46" customFormat="1" ht="16.5">
      <c r="A44" s="33"/>
      <c r="B44" s="36"/>
      <c r="C44" s="36"/>
      <c r="D44" s="10"/>
      <c r="E44" s="10"/>
      <c r="F44" s="10"/>
      <c r="G44" s="11"/>
      <c r="H44" s="34"/>
      <c r="I44" s="124"/>
      <c r="J44" s="124"/>
      <c r="K44" s="124"/>
      <c r="L44" s="124"/>
      <c r="M44" s="124"/>
      <c r="N44" s="124"/>
      <c r="O44" s="124"/>
      <c r="P44" s="124"/>
      <c r="Q44" s="124"/>
      <c r="R44" s="124"/>
      <c r="S44" s="124"/>
      <c r="T44" s="124"/>
      <c r="U44" s="124"/>
      <c r="V44" s="124"/>
    </row>
    <row r="45" spans="1:22" ht="16.5">
      <c r="A45" s="33"/>
      <c r="B45" s="36"/>
      <c r="C45" s="36"/>
      <c r="D45" s="10"/>
      <c r="E45" s="10"/>
      <c r="F45" s="10"/>
      <c r="G45" s="11"/>
      <c r="H45" s="37"/>
      <c r="U45" s="124"/>
      <c r="V45" s="124"/>
    </row>
    <row r="46" spans="1:22" ht="15" customHeight="1">
      <c r="A46" s="38"/>
      <c r="B46" s="39"/>
      <c r="C46" s="39"/>
      <c r="D46" s="35"/>
      <c r="E46" s="35"/>
      <c r="F46" s="35"/>
      <c r="G46" s="11"/>
      <c r="H46" s="37"/>
      <c r="U46" s="124"/>
      <c r="V46" s="124"/>
    </row>
    <row r="47" spans="1:22" ht="15" customHeight="1">
      <c r="A47" s="38"/>
      <c r="B47" s="39"/>
      <c r="C47" s="39"/>
      <c r="D47" s="35"/>
      <c r="E47" s="35"/>
      <c r="F47" s="35"/>
      <c r="G47" s="11"/>
      <c r="H47" s="37"/>
      <c r="U47" s="124"/>
      <c r="V47" s="124"/>
    </row>
    <row r="48" spans="1:22" ht="15" customHeight="1">
      <c r="A48" s="38"/>
      <c r="B48" s="39"/>
      <c r="C48" s="39"/>
      <c r="D48" s="35"/>
      <c r="E48" s="35"/>
      <c r="F48" s="35"/>
      <c r="G48" s="11"/>
      <c r="H48" s="37"/>
    </row>
    <row r="49" spans="1:20" ht="15" customHeight="1">
      <c r="A49" s="38"/>
      <c r="B49" s="39"/>
      <c r="C49" s="39"/>
      <c r="D49" s="35"/>
      <c r="E49" s="35"/>
      <c r="F49" s="35"/>
      <c r="G49" s="11"/>
      <c r="H49" s="37"/>
    </row>
    <row r="50" spans="1:20" ht="15" customHeight="1">
      <c r="A50" s="38"/>
      <c r="B50" s="39"/>
      <c r="C50" s="39"/>
      <c r="D50" s="35"/>
      <c r="E50" s="35"/>
      <c r="F50" s="35"/>
      <c r="G50" s="11"/>
      <c r="H50" s="37"/>
    </row>
    <row r="51" spans="1:20" ht="15" customHeight="1">
      <c r="A51" s="38"/>
      <c r="B51" s="39"/>
      <c r="C51" s="39"/>
      <c r="D51" s="35"/>
      <c r="E51" s="35"/>
      <c r="F51" s="35"/>
      <c r="G51" s="11"/>
      <c r="H51" s="37"/>
    </row>
    <row r="52" spans="1:20" ht="15" customHeight="1">
      <c r="A52" s="38"/>
      <c r="B52" s="39"/>
      <c r="C52" s="39"/>
      <c r="D52" s="35"/>
      <c r="E52" s="35"/>
      <c r="F52" s="35"/>
      <c r="G52" s="11"/>
      <c r="H52" s="37"/>
    </row>
    <row r="53" spans="1:20" ht="15" customHeight="1">
      <c r="A53" s="38"/>
      <c r="B53" s="39"/>
      <c r="C53" s="39"/>
      <c r="D53" s="35"/>
      <c r="E53" s="35"/>
      <c r="F53" s="35"/>
      <c r="G53" s="11"/>
      <c r="H53" s="37"/>
    </row>
    <row r="54" spans="1:20" ht="15" customHeight="1">
      <c r="A54" s="38"/>
      <c r="B54" s="39"/>
      <c r="C54" s="39"/>
      <c r="D54" s="35"/>
      <c r="E54" s="35"/>
      <c r="F54" s="35"/>
      <c r="G54" s="11"/>
      <c r="H54" s="37"/>
    </row>
    <row r="55" spans="1:20" ht="15" customHeight="1">
      <c r="A55" s="38"/>
      <c r="B55" s="39"/>
      <c r="C55" s="39"/>
      <c r="D55" s="35"/>
      <c r="E55" s="35"/>
      <c r="F55" s="35"/>
      <c r="G55" s="11"/>
      <c r="H55" s="37"/>
    </row>
    <row r="56" spans="1:20" ht="15" customHeight="1">
      <c r="A56" s="38"/>
      <c r="B56" s="39"/>
      <c r="C56" s="39"/>
      <c r="D56" s="35"/>
      <c r="E56" s="35"/>
      <c r="F56" s="35"/>
      <c r="G56" s="11"/>
      <c r="H56" s="37"/>
    </row>
    <row r="57" spans="1:20" ht="15" customHeight="1">
      <c r="A57" s="38"/>
      <c r="B57" s="39"/>
      <c r="C57" s="39"/>
      <c r="D57" s="35"/>
      <c r="E57" s="35"/>
      <c r="F57" s="35"/>
      <c r="G57" s="11"/>
      <c r="H57" s="37"/>
    </row>
    <row r="58" spans="1:20" ht="15" customHeight="1">
      <c r="A58" s="38"/>
      <c r="B58" s="39"/>
      <c r="C58" s="39"/>
      <c r="D58" s="35"/>
      <c r="E58" s="35"/>
      <c r="F58" s="35"/>
      <c r="G58" s="11"/>
      <c r="H58" s="37"/>
    </row>
    <row r="59" spans="1:20" ht="15" customHeight="1">
      <c r="A59" s="38"/>
      <c r="B59" s="39"/>
      <c r="C59" s="39"/>
      <c r="D59" s="35"/>
      <c r="E59" s="35"/>
      <c r="F59" s="35"/>
      <c r="G59" s="11"/>
      <c r="H59" s="37"/>
    </row>
    <row r="60" spans="1:20" ht="15" customHeight="1">
      <c r="A60" s="38"/>
      <c r="B60" s="39"/>
      <c r="C60" s="39"/>
      <c r="D60" s="35"/>
      <c r="E60" s="35"/>
      <c r="F60" s="35"/>
      <c r="G60" s="11"/>
      <c r="H60" s="37"/>
    </row>
    <row r="61" spans="1:20" ht="15" customHeight="1">
      <c r="A61" s="38"/>
      <c r="B61" s="39"/>
      <c r="C61" s="39"/>
      <c r="D61" s="35"/>
      <c r="E61" s="35"/>
      <c r="F61" s="35"/>
      <c r="G61" s="11"/>
      <c r="H61" s="37"/>
    </row>
    <row r="62" spans="1:20" s="46" customFormat="1" ht="15" customHeight="1">
      <c r="A62" s="38"/>
      <c r="B62" s="39"/>
      <c r="C62" s="39"/>
      <c r="D62" s="35"/>
      <c r="E62" s="35"/>
      <c r="F62" s="35"/>
      <c r="G62" s="11"/>
      <c r="H62" s="37"/>
      <c r="I62" s="124"/>
      <c r="J62" s="124"/>
      <c r="K62" s="124"/>
      <c r="L62" s="124"/>
      <c r="M62" s="124"/>
      <c r="N62" s="124"/>
      <c r="O62" s="124"/>
      <c r="P62" s="124"/>
      <c r="Q62" s="124"/>
      <c r="R62" s="124"/>
      <c r="S62" s="124"/>
      <c r="T62" s="124"/>
    </row>
    <row r="63" spans="1:20">
      <c r="A63" s="38"/>
      <c r="B63" s="182" t="s">
        <v>160</v>
      </c>
      <c r="C63" s="234"/>
      <c r="D63" s="234"/>
      <c r="E63" s="234"/>
      <c r="F63" s="234"/>
      <c r="G63" s="234"/>
      <c r="H63" s="37"/>
    </row>
    <row r="64" spans="1:20">
      <c r="A64" s="38"/>
      <c r="B64" s="234"/>
      <c r="C64" s="234"/>
      <c r="D64" s="234"/>
      <c r="E64" s="234"/>
      <c r="F64" s="234"/>
      <c r="G64" s="234"/>
      <c r="H64" s="37"/>
    </row>
    <row r="65" spans="1:20">
      <c r="A65" s="38"/>
      <c r="B65" s="234"/>
      <c r="C65" s="234"/>
      <c r="D65" s="234"/>
      <c r="E65" s="234"/>
      <c r="F65" s="234"/>
      <c r="G65" s="234"/>
      <c r="H65" s="37"/>
    </row>
    <row r="66" spans="1:20" s="39" customFormat="1" ht="15.75" thickBot="1">
      <c r="A66" s="40"/>
      <c r="B66" s="41"/>
      <c r="C66" s="41"/>
      <c r="D66" s="42"/>
      <c r="E66" s="42"/>
      <c r="F66" s="42"/>
      <c r="G66" s="42"/>
      <c r="H66" s="43"/>
      <c r="I66" s="126"/>
      <c r="J66" s="126"/>
      <c r="K66" s="126"/>
      <c r="L66" s="126"/>
      <c r="M66" s="126"/>
      <c r="N66" s="126"/>
      <c r="O66" s="126"/>
      <c r="P66" s="126"/>
      <c r="Q66" s="126"/>
      <c r="R66" s="126"/>
      <c r="S66" s="126"/>
      <c r="T66" s="126"/>
    </row>
    <row r="67" spans="1:20" ht="15.75" thickTop="1">
      <c r="A67" s="39"/>
      <c r="B67" s="39"/>
      <c r="C67" s="39"/>
      <c r="D67" s="35"/>
      <c r="E67" s="35"/>
      <c r="F67" s="35"/>
      <c r="G67" s="35"/>
      <c r="H67" s="39"/>
    </row>
    <row r="68" spans="1:20">
      <c r="A68" s="39"/>
      <c r="B68" s="39"/>
      <c r="C68" s="39"/>
      <c r="D68" s="35"/>
      <c r="E68" s="35"/>
      <c r="F68" s="35"/>
      <c r="G68" s="35"/>
      <c r="H68" s="39"/>
    </row>
    <row r="69" spans="1:20">
      <c r="A69" s="39"/>
      <c r="B69" s="39"/>
      <c r="C69" s="39"/>
      <c r="D69" s="35"/>
      <c r="E69" s="35"/>
      <c r="F69" s="35"/>
      <c r="G69" s="35"/>
      <c r="H69" s="39"/>
    </row>
  </sheetData>
  <sheetProtection password="DE70" sheet="1" objects="1" scenarios="1"/>
  <mergeCells count="44">
    <mergeCell ref="B63:G65"/>
    <mergeCell ref="B21:C21"/>
    <mergeCell ref="D19:D21"/>
    <mergeCell ref="G19:G21"/>
    <mergeCell ref="F31:G31"/>
    <mergeCell ref="B31:C31"/>
    <mergeCell ref="B27:C27"/>
    <mergeCell ref="F27:G27"/>
    <mergeCell ref="B28:C28"/>
    <mergeCell ref="F28:G28"/>
    <mergeCell ref="B24:G24"/>
    <mergeCell ref="B25:C25"/>
    <mergeCell ref="F25:G25"/>
    <mergeCell ref="B26:C26"/>
    <mergeCell ref="F26:G26"/>
    <mergeCell ref="B29:C29"/>
    <mergeCell ref="F29:G29"/>
    <mergeCell ref="B32:C32"/>
    <mergeCell ref="F32:G32"/>
    <mergeCell ref="B30:C30"/>
    <mergeCell ref="F30:G30"/>
    <mergeCell ref="B16:G16"/>
    <mergeCell ref="B17:C17"/>
    <mergeCell ref="B18:C18"/>
    <mergeCell ref="B19:C19"/>
    <mergeCell ref="F19:F20"/>
    <mergeCell ref="B20:C20"/>
    <mergeCell ref="A5:H5"/>
    <mergeCell ref="A1:H2"/>
    <mergeCell ref="A3:C3"/>
    <mergeCell ref="D3:H3"/>
    <mergeCell ref="A4:C4"/>
    <mergeCell ref="D4:H4"/>
    <mergeCell ref="B34:G34"/>
    <mergeCell ref="B35:C35"/>
    <mergeCell ref="B36:C36"/>
    <mergeCell ref="B37:C37"/>
    <mergeCell ref="F37:G37"/>
    <mergeCell ref="B38:C38"/>
    <mergeCell ref="F38:G38"/>
    <mergeCell ref="B40:C40"/>
    <mergeCell ref="F40:G40"/>
    <mergeCell ref="B39:C39"/>
    <mergeCell ref="F39:G39"/>
  </mergeCells>
  <dataValidations count="4">
    <dataValidation type="list" allowBlank="1" showInputMessage="1" showErrorMessage="1" sqref="B12:B13">
      <formula1>$O$7:$O$9</formula1>
    </dataValidation>
    <dataValidation type="list" allowBlank="1" showInputMessage="1" showErrorMessage="1" sqref="D13:F13">
      <formula1>SpH</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&amp;CVerson 1.1 - Aug, 17&amp;R&amp;A</oddFooter>
  </headerFooter>
  <drawing r:id="rId2"/>
</worksheet>
</file>

<file path=xl/worksheets/sheet6.xml><?xml version="1.0" encoding="utf-8"?>
<worksheet xmlns="http://schemas.openxmlformats.org/spreadsheetml/2006/main" xmlns:r="http://schemas.openxmlformats.org/officeDocument/2006/relationships">
  <dimension ref="A1:T67"/>
  <sheetViews>
    <sheetView showGridLines="0" showWhiteSpace="0" view="pageLayout" zoomScaleNormal="100" zoomScaleSheetLayoutView="100" workbookViewId="0">
      <selection activeCell="D12" sqref="D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0" width="9.125" style="124"/>
    <col min="21"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116</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53" t="s">
        <v>90</v>
      </c>
      <c r="C7" s="31">
        <v>1000</v>
      </c>
      <c r="D7" s="54" t="s">
        <v>92</v>
      </c>
      <c r="E7" s="32">
        <v>1202</v>
      </c>
      <c r="F7" s="54" t="s">
        <v>62</v>
      </c>
      <c r="G7" s="87">
        <v>1</v>
      </c>
      <c r="H7" s="56"/>
      <c r="M7" s="124">
        <v>10</v>
      </c>
      <c r="O7" s="124">
        <v>38</v>
      </c>
    </row>
    <row r="8" spans="1:16" ht="18" thickTop="1" thickBot="1">
      <c r="A8" s="57"/>
      <c r="B8" s="58"/>
      <c r="C8" s="59"/>
      <c r="D8" s="60"/>
      <c r="E8" s="61"/>
      <c r="F8" s="62"/>
      <c r="G8" s="63"/>
      <c r="H8" s="56"/>
      <c r="M8" s="124">
        <v>20</v>
      </c>
      <c r="O8" s="124">
        <v>65</v>
      </c>
    </row>
    <row r="9" spans="1:16" ht="33.75" thickTop="1" thickBot="1">
      <c r="A9" s="52"/>
      <c r="B9" s="106" t="s">
        <v>166</v>
      </c>
      <c r="C9" s="64">
        <f>(C7+50)*G7+50</f>
        <v>1100</v>
      </c>
      <c r="D9" s="104" t="s">
        <v>167</v>
      </c>
      <c r="E9" s="64">
        <f>(B12*C12)+((C12-1)*G12)+112</f>
        <v>1202</v>
      </c>
      <c r="F9" s="104" t="s">
        <v>168</v>
      </c>
      <c r="G9" s="64">
        <f>(B12*C12)+((C12-1)*G12)+112+58</f>
        <v>1260</v>
      </c>
      <c r="H9" s="56"/>
      <c r="O9" s="124">
        <v>100</v>
      </c>
    </row>
    <row r="10" spans="1:16" ht="18" thickTop="1" thickBot="1">
      <c r="A10" s="52"/>
      <c r="B10" s="102" t="s">
        <v>158</v>
      </c>
      <c r="C10" s="66"/>
      <c r="D10" s="65"/>
      <c r="E10" s="101" t="s">
        <v>157</v>
      </c>
      <c r="F10" s="65"/>
      <c r="G10" s="101" t="s">
        <v>157</v>
      </c>
      <c r="H10" s="56"/>
    </row>
    <row r="11" spans="1:16" ht="18" thickTop="1" thickBot="1">
      <c r="A11" s="52"/>
      <c r="B11" s="67" t="s">
        <v>55</v>
      </c>
      <c r="C11" s="68" t="s">
        <v>56</v>
      </c>
      <c r="D11" s="69" t="s">
        <v>57</v>
      </c>
      <c r="E11" s="69" t="s">
        <v>58</v>
      </c>
      <c r="F11" s="69" t="s">
        <v>59</v>
      </c>
      <c r="G11" s="70" t="s">
        <v>60</v>
      </c>
      <c r="H11" s="56"/>
    </row>
    <row r="12" spans="1:16" ht="17.25" thickBot="1">
      <c r="A12" s="52"/>
      <c r="B12" s="28">
        <v>100</v>
      </c>
      <c r="C12" s="29">
        <v>10</v>
      </c>
      <c r="D12" s="30">
        <v>10</v>
      </c>
      <c r="E12" s="30"/>
      <c r="F12" s="30"/>
      <c r="G12" s="71">
        <f>D12+E12+F12</f>
        <v>10</v>
      </c>
      <c r="H12" s="56"/>
      <c r="M12" s="124" t="s">
        <v>63</v>
      </c>
      <c r="N12" s="125">
        <f>(C12-1)*2</f>
        <v>18</v>
      </c>
    </row>
    <row r="13" spans="1:16" ht="18" thickTop="1" thickBot="1">
      <c r="A13" s="57"/>
      <c r="B13" s="72"/>
      <c r="C13" s="73"/>
      <c r="D13" s="74"/>
      <c r="E13" s="74"/>
      <c r="F13" s="74"/>
      <c r="G13" s="75"/>
      <c r="H13" s="76"/>
      <c r="M13" s="124" t="s">
        <v>64</v>
      </c>
      <c r="N13" s="124">
        <f>IF(D12=10,N12,"")</f>
        <v>18</v>
      </c>
      <c r="O13" s="124" t="s">
        <v>65</v>
      </c>
      <c r="P13" s="124" t="str">
        <f>IF(D12=20,N12,"")</f>
        <v/>
      </c>
    </row>
    <row r="14" spans="1:16" ht="18" thickTop="1" thickBot="1">
      <c r="A14" s="52"/>
      <c r="B14" s="55" t="s">
        <v>61</v>
      </c>
      <c r="C14" s="77">
        <f>((E7-112-B12)/(B12+G12))+1</f>
        <v>10</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18</v>
      </c>
      <c r="O16" s="124" t="s">
        <v>76</v>
      </c>
      <c r="P16" s="124">
        <f>SUM(P13:P15)</f>
        <v>0</v>
      </c>
    </row>
    <row r="17" spans="1:20" ht="18" thickTop="1" thickBot="1">
      <c r="A17" s="52"/>
      <c r="B17" s="256" t="s">
        <v>47</v>
      </c>
      <c r="C17" s="257"/>
      <c r="D17" s="109" t="s">
        <v>69</v>
      </c>
      <c r="E17" s="109" t="s">
        <v>1</v>
      </c>
      <c r="F17" s="109" t="s">
        <v>70</v>
      </c>
      <c r="G17" s="110" t="s">
        <v>71</v>
      </c>
      <c r="H17" s="56"/>
    </row>
    <row r="18" spans="1:20" ht="18" thickTop="1" thickBot="1">
      <c r="A18" s="52"/>
      <c r="B18" s="258" t="s">
        <v>118</v>
      </c>
      <c r="C18" s="259"/>
      <c r="D18" s="288" t="s">
        <v>14</v>
      </c>
      <c r="E18" s="111">
        <f>C7-70</f>
        <v>930</v>
      </c>
      <c r="F18" s="81">
        <f>G7*2</f>
        <v>2</v>
      </c>
      <c r="G18" s="286">
        <f>IF(((E18*F18)+(E19*F19)&lt;VLOOKUP(D18,M19:N23,2,FALSE)),ROUNDUP(((F19+F18)/2)/(ROUNDDOWN(VLOOKUP(D18,M19:N23,2,FALSE)/(E18+E19+6),0)),0),ROUNDUP(F19/(ROUNDDOWN(VLOOKUP(D18,M19:N23,2,FALSE)/(E19+3),0)),0)+ROUNDUP(F18/(ROUNDDOWN(VLOOKUP(D18,M19:N23,2,FALSE)/(E18+3),0)),0))</f>
        <v>1</v>
      </c>
      <c r="H18" s="56"/>
    </row>
    <row r="19" spans="1:20" ht="17.25" thickBot="1">
      <c r="A19" s="52"/>
      <c r="B19" s="284" t="s">
        <v>117</v>
      </c>
      <c r="C19" s="285"/>
      <c r="D19" s="280"/>
      <c r="E19" s="114">
        <f>E9-100</f>
        <v>1102</v>
      </c>
      <c r="F19" s="88">
        <f>2*G7</f>
        <v>2</v>
      </c>
      <c r="G19" s="287"/>
      <c r="H19" s="56"/>
      <c r="M19" s="124" t="s">
        <v>14</v>
      </c>
      <c r="N19" s="124">
        <v>6500</v>
      </c>
    </row>
    <row r="20" spans="1:20" ht="17.25" thickBot="1">
      <c r="A20" s="52"/>
      <c r="B20" s="249" t="s">
        <v>155</v>
      </c>
      <c r="C20" s="250"/>
      <c r="D20" s="278" t="s">
        <v>12</v>
      </c>
      <c r="E20" s="107">
        <f>E9</f>
        <v>1202</v>
      </c>
      <c r="F20" s="260">
        <f>G7+1</f>
        <v>2</v>
      </c>
      <c r="G20" s="281">
        <f>IF(((E22*F22)+(E21*F20)&lt;VLOOKUP(D20,M19:N23,2,FALSE)),ROUNDUP(((F22+F20)/2)/(ROUNDDOWN(VLOOKUP(D20,M19:N23,2,FALSE)/(E22+E21+6),0)),0),ROUNDUP(F22/(ROUNDDOWN(VLOOKUP(D20,M19:N23,2,FALSE)/(E22+3),0)),0)+ROUNDUP(F20/(ROUNDDOWN(VLOOKUP(D20,M19:N23,2,FALSE)/(E21+3),0)),0))</f>
        <v>1</v>
      </c>
      <c r="H20" s="56"/>
      <c r="M20" s="124" t="s">
        <v>12</v>
      </c>
      <c r="N20" s="124">
        <v>6500</v>
      </c>
    </row>
    <row r="21" spans="1:20" ht="17.25" thickBot="1">
      <c r="A21" s="52"/>
      <c r="B21" s="249" t="s">
        <v>156</v>
      </c>
      <c r="C21" s="250"/>
      <c r="D21" s="279"/>
      <c r="E21" s="107">
        <f>G9</f>
        <v>1260</v>
      </c>
      <c r="F21" s="251"/>
      <c r="G21" s="282"/>
      <c r="H21" s="56"/>
      <c r="M21" s="124" t="s">
        <v>15</v>
      </c>
      <c r="N21" s="124">
        <v>6500</v>
      </c>
    </row>
    <row r="22" spans="1:20" ht="17.25" thickBot="1">
      <c r="A22" s="52"/>
      <c r="B22" s="268" t="s">
        <v>89</v>
      </c>
      <c r="C22" s="269"/>
      <c r="D22" s="280"/>
      <c r="E22" s="113">
        <f>C7</f>
        <v>1000</v>
      </c>
      <c r="F22" s="113">
        <f>2*G7</f>
        <v>2</v>
      </c>
      <c r="G22" s="283"/>
      <c r="H22" s="56"/>
      <c r="M22" s="124" t="s">
        <v>11</v>
      </c>
      <c r="N22" s="124">
        <v>6500</v>
      </c>
    </row>
    <row r="23" spans="1:20" ht="17.25" thickBot="1">
      <c r="A23" s="52"/>
      <c r="B23" s="82" t="s">
        <v>77</v>
      </c>
      <c r="C23" s="83" t="str">
        <f>IF(B12=100,"100 x 16 x 1.2mm",IF(B12=65,"65 x 16 x 1.2mm",IF(B12=38,"38 x 16 x 1.6mm","")))</f>
        <v>100 x 16 x 1.2mm</v>
      </c>
      <c r="D23" s="112" t="str">
        <f>IF(B12=100,"EP12022",IF(B12=65,"EQ6823",IF(B12=38,"EP7822","")))</f>
        <v>EP12022</v>
      </c>
      <c r="E23" s="112">
        <f>C7-12</f>
        <v>988</v>
      </c>
      <c r="F23" s="117">
        <f>C12*G7</f>
        <v>10</v>
      </c>
      <c r="G23" s="118">
        <f>ROUNDUP(F23/(ROUNDDOWN(VLOOKUP(D23,M19:N23,2,FALSE)/(E23+3),0)),0)</f>
        <v>2</v>
      </c>
      <c r="H23" s="56"/>
      <c r="M23" s="124" t="s">
        <v>10</v>
      </c>
      <c r="N23" s="124">
        <v>6500</v>
      </c>
    </row>
    <row r="24" spans="1:20" ht="18" thickTop="1" thickBot="1">
      <c r="A24" s="52"/>
      <c r="B24" s="80"/>
      <c r="C24" s="80"/>
      <c r="D24" s="78"/>
      <c r="E24" s="78"/>
      <c r="F24" s="78"/>
      <c r="G24" s="78"/>
      <c r="H24" s="56"/>
    </row>
    <row r="25" spans="1:20" ht="20.25" thickTop="1" thickBot="1">
      <c r="A25" s="52"/>
      <c r="B25" s="253" t="s">
        <v>78</v>
      </c>
      <c r="C25" s="254"/>
      <c r="D25" s="254"/>
      <c r="E25" s="254"/>
      <c r="F25" s="254"/>
      <c r="G25" s="255"/>
      <c r="H25" s="56"/>
    </row>
    <row r="26" spans="1:20" ht="18" thickTop="1" thickBot="1">
      <c r="A26" s="52"/>
      <c r="B26" s="256" t="s">
        <v>79</v>
      </c>
      <c r="C26" s="257"/>
      <c r="D26" s="109" t="s">
        <v>80</v>
      </c>
      <c r="E26" s="109" t="s">
        <v>81</v>
      </c>
      <c r="F26" s="263" t="s">
        <v>70</v>
      </c>
      <c r="G26" s="264"/>
      <c r="H26" s="56"/>
    </row>
    <row r="27" spans="1:20" ht="18" thickTop="1" thickBot="1">
      <c r="A27" s="52"/>
      <c r="B27" s="249" t="s">
        <v>84</v>
      </c>
      <c r="C27" s="250"/>
      <c r="D27" s="107">
        <v>317671</v>
      </c>
      <c r="E27" s="107" t="s">
        <v>83</v>
      </c>
      <c r="F27" s="251">
        <f>N16*G7</f>
        <v>18</v>
      </c>
      <c r="G27" s="252"/>
      <c r="H27" s="56"/>
    </row>
    <row r="28" spans="1:20" ht="17.25" thickBot="1">
      <c r="A28" s="52"/>
      <c r="B28" s="249" t="s">
        <v>85</v>
      </c>
      <c r="C28" s="250"/>
      <c r="D28" s="107">
        <v>317672</v>
      </c>
      <c r="E28" s="107" t="s">
        <v>83</v>
      </c>
      <c r="F28" s="251">
        <f>P16*G7</f>
        <v>0</v>
      </c>
      <c r="G28" s="252"/>
      <c r="H28" s="56"/>
    </row>
    <row r="29" spans="1:20" ht="17.25" thickBot="1">
      <c r="A29" s="52"/>
      <c r="B29" s="249" t="s">
        <v>162</v>
      </c>
      <c r="C29" s="250"/>
      <c r="D29" s="107">
        <v>317676</v>
      </c>
      <c r="E29" s="107" t="s">
        <v>83</v>
      </c>
      <c r="F29" s="260">
        <f>N12*G7</f>
        <v>18</v>
      </c>
      <c r="G29" s="267"/>
      <c r="H29" s="56"/>
      <c r="S29" s="124">
        <f>E21*F20</f>
        <v>2520</v>
      </c>
      <c r="T29" s="124">
        <f>E18*F18</f>
        <v>1860</v>
      </c>
    </row>
    <row r="30" spans="1:20" ht="17.25" thickBot="1">
      <c r="A30" s="52"/>
      <c r="B30" s="249" t="s">
        <v>87</v>
      </c>
      <c r="C30" s="250"/>
      <c r="D30" s="103" t="s">
        <v>159</v>
      </c>
      <c r="E30" s="107" t="s">
        <v>83</v>
      </c>
      <c r="F30" s="260">
        <f>(MAX((2*(ROUNDUP((E19/300),0)+1)*G7),4)+(MAX((2*(ROUNDUP((E18/300),0)+1)*G7),4)))</f>
        <v>20</v>
      </c>
      <c r="G30" s="267"/>
      <c r="H30" s="56"/>
      <c r="S30" s="124">
        <f>E22*F22</f>
        <v>2000</v>
      </c>
      <c r="T30" s="124">
        <f>F19*E19</f>
        <v>2204</v>
      </c>
    </row>
    <row r="31" spans="1:20" s="46" customFormat="1" ht="17.25" thickBot="1">
      <c r="A31" s="52"/>
      <c r="B31" s="268" t="s">
        <v>179</v>
      </c>
      <c r="C31" s="269"/>
      <c r="D31" s="107">
        <v>301086</v>
      </c>
      <c r="E31" s="107" t="s">
        <v>83</v>
      </c>
      <c r="F31" s="270">
        <f>G7*16</f>
        <v>16</v>
      </c>
      <c r="G31" s="271"/>
      <c r="H31" s="56"/>
      <c r="I31" s="124"/>
      <c r="J31" s="124"/>
      <c r="K31" s="124"/>
      <c r="L31" s="124"/>
      <c r="M31" s="124"/>
      <c r="N31" s="124"/>
      <c r="O31" s="124"/>
      <c r="P31" s="124"/>
      <c r="Q31" s="124"/>
      <c r="R31" s="124"/>
      <c r="S31" s="124"/>
      <c r="T31" s="124"/>
    </row>
    <row r="32" spans="1:20" ht="17.25" thickBot="1">
      <c r="A32" s="52"/>
      <c r="B32" s="268" t="s">
        <v>115</v>
      </c>
      <c r="C32" s="269"/>
      <c r="D32" s="107">
        <v>301620</v>
      </c>
      <c r="E32" s="107" t="s">
        <v>83</v>
      </c>
      <c r="F32" s="270">
        <f>4*G7</f>
        <v>4</v>
      </c>
      <c r="G32" s="271"/>
      <c r="H32" s="56"/>
      <c r="S32" s="124">
        <f>SUM(S29:S30)</f>
        <v>4520</v>
      </c>
      <c r="T32" s="124">
        <f>SUM(T28:T30)</f>
        <v>4064</v>
      </c>
    </row>
    <row r="33" spans="1:20" ht="17.25" thickBot="1">
      <c r="A33" s="52"/>
      <c r="B33" s="272" t="s">
        <v>23</v>
      </c>
      <c r="C33" s="273"/>
      <c r="D33" s="112">
        <v>301405</v>
      </c>
      <c r="E33" s="112" t="s">
        <v>83</v>
      </c>
      <c r="F33" s="274">
        <f>F20</f>
        <v>2</v>
      </c>
      <c r="G33" s="275"/>
      <c r="H33" s="56"/>
    </row>
    <row r="34" spans="1:20" ht="18" thickTop="1" thickBot="1">
      <c r="A34" s="52"/>
      <c r="B34" s="85"/>
      <c r="C34" s="85"/>
      <c r="D34" s="78"/>
      <c r="E34" s="78"/>
      <c r="F34" s="86"/>
      <c r="G34" s="86"/>
      <c r="H34" s="56"/>
    </row>
    <row r="35" spans="1:20" ht="20.25" thickTop="1" thickBot="1">
      <c r="A35" s="52"/>
      <c r="B35" s="253" t="s">
        <v>130</v>
      </c>
      <c r="C35" s="254"/>
      <c r="D35" s="254"/>
      <c r="E35" s="254"/>
      <c r="F35" s="254"/>
      <c r="G35" s="255"/>
      <c r="H35" s="56"/>
    </row>
    <row r="36" spans="1:20" ht="18" thickTop="1" thickBot="1">
      <c r="A36" s="52"/>
      <c r="B36" s="256" t="s">
        <v>125</v>
      </c>
      <c r="C36" s="257"/>
      <c r="D36" s="109" t="s">
        <v>126</v>
      </c>
      <c r="E36" s="109" t="s">
        <v>127</v>
      </c>
      <c r="F36" s="109" t="s">
        <v>70</v>
      </c>
      <c r="G36" s="110" t="s">
        <v>71</v>
      </c>
      <c r="H36" s="56"/>
    </row>
    <row r="37" spans="1:20" ht="18" thickTop="1" thickBot="1">
      <c r="A37" s="52"/>
      <c r="B37" s="258" t="s">
        <v>124</v>
      </c>
      <c r="C37" s="259"/>
      <c r="D37" s="111" t="s">
        <v>11</v>
      </c>
      <c r="E37" s="111">
        <f>E9-174</f>
        <v>1028</v>
      </c>
      <c r="F37" s="81">
        <f>G7</f>
        <v>1</v>
      </c>
      <c r="G37" s="116">
        <f>ROUNDUP(F37/(ROUNDDOWN(VLOOKUP(D37,M19:N23,2,FALSE)/(E37+3),0)),0)</f>
        <v>1</v>
      </c>
      <c r="H37" s="56"/>
    </row>
    <row r="38" spans="1:20" ht="17.25" thickBot="1">
      <c r="A38" s="52"/>
      <c r="B38" s="249" t="s">
        <v>129</v>
      </c>
      <c r="C38" s="250"/>
      <c r="D38" s="107">
        <v>308945</v>
      </c>
      <c r="E38" s="107" t="s">
        <v>83</v>
      </c>
      <c r="F38" s="251">
        <f>2*G7</f>
        <v>2</v>
      </c>
      <c r="G38" s="252"/>
      <c r="H38" s="56"/>
    </row>
    <row r="39" spans="1:20" ht="17.25" thickBot="1">
      <c r="A39" s="52"/>
      <c r="B39" s="249" t="s">
        <v>128</v>
      </c>
      <c r="C39" s="250"/>
      <c r="D39" s="107">
        <v>301086</v>
      </c>
      <c r="E39" s="107" t="s">
        <v>83</v>
      </c>
      <c r="F39" s="251">
        <f>2*G7</f>
        <v>2</v>
      </c>
      <c r="G39" s="252"/>
      <c r="H39" s="56"/>
    </row>
    <row r="40" spans="1:20" s="46" customFormat="1" ht="17.25" thickBot="1">
      <c r="A40" s="52"/>
      <c r="B40" s="268" t="s">
        <v>132</v>
      </c>
      <c r="C40" s="269"/>
      <c r="D40" s="113">
        <v>317077</v>
      </c>
      <c r="E40" s="113" t="s">
        <v>131</v>
      </c>
      <c r="F40" s="276">
        <f>C12*G7*2*20</f>
        <v>400</v>
      </c>
      <c r="G40" s="277"/>
      <c r="H40" s="56"/>
      <c r="I40" s="124"/>
      <c r="J40" s="124"/>
      <c r="K40" s="124"/>
      <c r="L40" s="124"/>
      <c r="M40" s="124"/>
      <c r="N40" s="124"/>
      <c r="O40" s="124"/>
      <c r="P40" s="124"/>
      <c r="Q40" s="124"/>
      <c r="R40" s="124"/>
      <c r="S40" s="124"/>
      <c r="T40" s="124"/>
    </row>
    <row r="41" spans="1:20" ht="17.25" thickBot="1">
      <c r="A41" s="52"/>
      <c r="B41" s="272" t="s">
        <v>86</v>
      </c>
      <c r="C41" s="273"/>
      <c r="D41" s="112">
        <v>309327</v>
      </c>
      <c r="E41" s="112" t="s">
        <v>83</v>
      </c>
      <c r="F41" s="274">
        <f>2*G7</f>
        <v>2</v>
      </c>
      <c r="G41" s="275"/>
      <c r="H41" s="56"/>
    </row>
    <row r="42" spans="1:20" ht="17.25" thickTop="1">
      <c r="A42" s="33"/>
      <c r="B42" s="36"/>
      <c r="C42" s="36"/>
      <c r="D42" s="10"/>
      <c r="E42" s="10"/>
      <c r="F42" s="10"/>
      <c r="G42" s="10"/>
      <c r="H42" s="34"/>
    </row>
    <row r="43" spans="1:20" ht="16.5">
      <c r="A43" s="33"/>
      <c r="B43" s="36"/>
      <c r="C43" s="36"/>
      <c r="D43" s="10"/>
      <c r="E43" s="10"/>
      <c r="F43" s="10"/>
      <c r="G43" s="11"/>
      <c r="H43" s="34"/>
    </row>
    <row r="44" spans="1:20" ht="16.5">
      <c r="A44" s="33"/>
      <c r="B44" s="36"/>
      <c r="C44" s="36"/>
      <c r="D44" s="10"/>
      <c r="E44" s="10"/>
      <c r="F44" s="10"/>
      <c r="G44" s="11"/>
      <c r="H44" s="37"/>
    </row>
    <row r="45" spans="1:20" ht="15" customHeight="1">
      <c r="A45" s="38"/>
      <c r="B45" s="39"/>
      <c r="C45" s="39"/>
      <c r="D45" s="35"/>
      <c r="E45" s="35"/>
      <c r="F45" s="35"/>
      <c r="G45" s="11"/>
      <c r="H45" s="37"/>
    </row>
    <row r="46" spans="1:20" ht="15" customHeight="1">
      <c r="A46" s="38"/>
      <c r="B46" s="39"/>
      <c r="C46" s="39"/>
      <c r="D46" s="35"/>
      <c r="E46" s="35"/>
      <c r="F46" s="35"/>
      <c r="G46" s="11"/>
      <c r="H46" s="37"/>
    </row>
    <row r="47" spans="1:20" ht="15" customHeight="1">
      <c r="A47" s="38"/>
      <c r="B47" s="39"/>
      <c r="C47" s="39"/>
      <c r="D47" s="35"/>
      <c r="E47" s="35"/>
      <c r="F47" s="35"/>
      <c r="G47" s="11"/>
      <c r="H47" s="37"/>
    </row>
    <row r="48" spans="1:20" ht="15" customHeight="1">
      <c r="A48" s="38"/>
      <c r="B48" s="39"/>
      <c r="C48" s="39"/>
      <c r="D48" s="35"/>
      <c r="E48" s="35"/>
      <c r="F48" s="35"/>
      <c r="G48" s="11"/>
      <c r="H48" s="37"/>
    </row>
    <row r="49" spans="1:8" ht="15" customHeight="1">
      <c r="A49" s="38"/>
      <c r="B49" s="39"/>
      <c r="C49" s="39"/>
      <c r="D49" s="35"/>
      <c r="E49" s="35"/>
      <c r="F49" s="35"/>
      <c r="G49" s="11"/>
      <c r="H49" s="37"/>
    </row>
    <row r="50" spans="1:8" ht="15" customHeight="1">
      <c r="A50" s="38"/>
      <c r="B50" s="39"/>
      <c r="C50" s="39"/>
      <c r="D50" s="35"/>
      <c r="E50" s="35"/>
      <c r="F50" s="35"/>
      <c r="G50" s="11"/>
      <c r="H50" s="37"/>
    </row>
    <row r="51" spans="1:8" ht="15" customHeight="1">
      <c r="A51" s="38"/>
      <c r="B51" s="39"/>
      <c r="C51" s="39"/>
      <c r="D51" s="35"/>
      <c r="E51" s="35"/>
      <c r="F51" s="35"/>
      <c r="G51" s="11"/>
      <c r="H51" s="37"/>
    </row>
    <row r="52" spans="1:8" ht="15" customHeight="1">
      <c r="A52" s="38"/>
      <c r="B52" s="39"/>
      <c r="C52" s="39"/>
      <c r="D52" s="35"/>
      <c r="E52" s="35"/>
      <c r="F52" s="35"/>
      <c r="G52" s="11"/>
      <c r="H52" s="37"/>
    </row>
    <row r="53" spans="1:8" ht="15" customHeight="1">
      <c r="A53" s="38"/>
      <c r="B53" s="39"/>
      <c r="C53" s="39"/>
      <c r="D53" s="35"/>
      <c r="E53" s="35"/>
      <c r="F53" s="35"/>
      <c r="G53" s="11"/>
      <c r="H53" s="37"/>
    </row>
    <row r="54" spans="1:8" ht="15" customHeight="1">
      <c r="A54" s="38"/>
      <c r="B54" s="39"/>
      <c r="C54" s="39"/>
      <c r="D54" s="35"/>
      <c r="E54" s="35"/>
      <c r="F54" s="35"/>
      <c r="G54" s="11"/>
      <c r="H54" s="37"/>
    </row>
    <row r="55" spans="1:8" ht="15" customHeight="1">
      <c r="A55" s="38"/>
      <c r="B55" s="39"/>
      <c r="C55" s="39"/>
      <c r="D55" s="35"/>
      <c r="E55" s="35"/>
      <c r="F55" s="35"/>
      <c r="G55" s="11"/>
      <c r="H55" s="37"/>
    </row>
    <row r="56" spans="1:8" ht="15" customHeight="1">
      <c r="A56" s="38"/>
      <c r="B56" s="39"/>
      <c r="C56" s="39"/>
      <c r="D56" s="35"/>
      <c r="E56" s="35"/>
      <c r="F56" s="35"/>
      <c r="G56" s="11"/>
      <c r="H56" s="37"/>
    </row>
    <row r="57" spans="1:8" ht="15" customHeight="1">
      <c r="A57" s="38"/>
      <c r="B57" s="39"/>
      <c r="C57" s="39"/>
      <c r="D57" s="35"/>
      <c r="E57" s="35"/>
      <c r="F57" s="35"/>
      <c r="G57" s="11"/>
      <c r="H57" s="37"/>
    </row>
    <row r="58" spans="1:8" ht="15" customHeight="1">
      <c r="A58" s="38"/>
      <c r="B58" s="39"/>
      <c r="C58" s="39"/>
      <c r="D58" s="35"/>
      <c r="E58" s="35"/>
      <c r="F58" s="35"/>
      <c r="G58" s="11"/>
      <c r="H58" s="37"/>
    </row>
    <row r="59" spans="1:8" ht="15" customHeight="1">
      <c r="A59" s="38"/>
      <c r="B59" s="39"/>
      <c r="C59" s="39"/>
      <c r="D59" s="35"/>
      <c r="E59" s="35"/>
      <c r="F59" s="35"/>
      <c r="G59" s="11"/>
      <c r="H59" s="37"/>
    </row>
    <row r="60" spans="1:8" ht="15" customHeight="1">
      <c r="A60" s="38"/>
      <c r="B60" s="39"/>
      <c r="C60" s="39"/>
      <c r="D60" s="35"/>
      <c r="E60" s="35"/>
      <c r="F60" s="35"/>
      <c r="G60" s="11"/>
      <c r="H60" s="37"/>
    </row>
    <row r="61" spans="1:8" ht="15" customHeight="1">
      <c r="A61" s="38"/>
      <c r="B61" s="39"/>
      <c r="C61" s="39"/>
      <c r="D61" s="35"/>
      <c r="E61" s="35"/>
      <c r="F61" s="35"/>
      <c r="G61" s="11"/>
      <c r="H61" s="37"/>
    </row>
    <row r="62" spans="1:8" ht="15" customHeight="1">
      <c r="A62" s="38"/>
      <c r="B62" s="39"/>
      <c r="C62" s="39"/>
      <c r="D62" s="35"/>
      <c r="E62" s="35"/>
      <c r="F62" s="35"/>
      <c r="G62" s="11"/>
      <c r="H62" s="37"/>
    </row>
    <row r="63" spans="1:8">
      <c r="A63" s="38"/>
      <c r="B63" s="182" t="s">
        <v>160</v>
      </c>
      <c r="C63" s="234"/>
      <c r="D63" s="234"/>
      <c r="E63" s="234"/>
      <c r="F63" s="234"/>
      <c r="G63" s="234"/>
      <c r="H63" s="37"/>
    </row>
    <row r="64" spans="1:8">
      <c r="A64" s="38"/>
      <c r="B64" s="234"/>
      <c r="C64" s="234"/>
      <c r="D64" s="234"/>
      <c r="E64" s="234"/>
      <c r="F64" s="234"/>
      <c r="G64" s="234"/>
      <c r="H64" s="37"/>
    </row>
    <row r="65" spans="1:8">
      <c r="A65" s="38"/>
      <c r="B65" s="234"/>
      <c r="C65" s="234"/>
      <c r="D65" s="234"/>
      <c r="E65" s="234"/>
      <c r="F65" s="234"/>
      <c r="G65" s="234"/>
      <c r="H65" s="37"/>
    </row>
    <row r="66" spans="1:8" ht="15.75" thickBot="1">
      <c r="A66" s="40"/>
      <c r="B66" s="41"/>
      <c r="C66" s="41"/>
      <c r="D66" s="42"/>
      <c r="E66" s="42"/>
      <c r="F66" s="42"/>
      <c r="G66" s="42"/>
      <c r="H66" s="43"/>
    </row>
    <row r="67" spans="1:8" ht="15.75" thickTop="1">
      <c r="A67" s="39"/>
      <c r="B67" s="39"/>
      <c r="C67" s="39"/>
      <c r="D67" s="35"/>
      <c r="E67" s="35"/>
      <c r="F67" s="35"/>
      <c r="G67" s="35"/>
      <c r="H67" s="39"/>
    </row>
  </sheetData>
  <sheetProtection password="DE70" sheet="1" objects="1" scenarios="1"/>
  <mergeCells count="47">
    <mergeCell ref="B63:G65"/>
    <mergeCell ref="B33:C33"/>
    <mergeCell ref="F33:G33"/>
    <mergeCell ref="B18:C18"/>
    <mergeCell ref="G18:G19"/>
    <mergeCell ref="D18:D19"/>
    <mergeCell ref="B30:C30"/>
    <mergeCell ref="F30:G30"/>
    <mergeCell ref="B32:C32"/>
    <mergeCell ref="F32:G32"/>
    <mergeCell ref="B28:C28"/>
    <mergeCell ref="F28:G28"/>
    <mergeCell ref="B29:C29"/>
    <mergeCell ref="F29:G29"/>
    <mergeCell ref="B25:G25"/>
    <mergeCell ref="B26:C26"/>
    <mergeCell ref="F26:G26"/>
    <mergeCell ref="B27:C27"/>
    <mergeCell ref="F27:G27"/>
    <mergeCell ref="B16:G16"/>
    <mergeCell ref="B17:C17"/>
    <mergeCell ref="B19:C19"/>
    <mergeCell ref="B20:C20"/>
    <mergeCell ref="D20:D22"/>
    <mergeCell ref="F20:F21"/>
    <mergeCell ref="G20:G22"/>
    <mergeCell ref="B21:C21"/>
    <mergeCell ref="B22:C22"/>
    <mergeCell ref="A5:H5"/>
    <mergeCell ref="A1:H2"/>
    <mergeCell ref="A3:C3"/>
    <mergeCell ref="D3:H3"/>
    <mergeCell ref="A4:C4"/>
    <mergeCell ref="D4:H4"/>
    <mergeCell ref="B31:C31"/>
    <mergeCell ref="F31:G31"/>
    <mergeCell ref="B39:C39"/>
    <mergeCell ref="F39:G39"/>
    <mergeCell ref="B41:C41"/>
    <mergeCell ref="F41:G41"/>
    <mergeCell ref="B40:C40"/>
    <mergeCell ref="F40:G40"/>
    <mergeCell ref="B35:G35"/>
    <mergeCell ref="B36:C36"/>
    <mergeCell ref="B37:C37"/>
    <mergeCell ref="B38:C38"/>
    <mergeCell ref="F38:G38"/>
  </mergeCells>
  <dataValidations count="4">
    <dataValidation type="list" allowBlank="1" showInputMessage="1" showErrorMessage="1" sqref="D13:F13">
      <formula1>SpH</formula1>
    </dataValidation>
    <dataValidation type="list" allowBlank="1" showInputMessage="1" showErrorMessage="1" sqref="B12:B13">
      <formula1>$O$7:$O$9</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Aug, 17&amp;R&amp;A</oddFooter>
  </headerFooter>
  <drawing r:id="rId2"/>
</worksheet>
</file>

<file path=xl/worksheets/sheet7.xml><?xml version="1.0" encoding="utf-8"?>
<worksheet xmlns="http://schemas.openxmlformats.org/spreadsheetml/2006/main" xmlns:r="http://schemas.openxmlformats.org/officeDocument/2006/relationships">
  <dimension ref="A1:U72"/>
  <sheetViews>
    <sheetView showGridLines="0" showWhiteSpace="0" view="pageLayout" zoomScaleNormal="100" zoomScaleSheetLayoutView="100" workbookViewId="0">
      <selection activeCell="D12" sqref="D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1" width="9.125" style="124"/>
    <col min="22"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147</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53" t="s">
        <v>90</v>
      </c>
      <c r="C7" s="31">
        <v>1200</v>
      </c>
      <c r="D7" s="54" t="s">
        <v>92</v>
      </c>
      <c r="E7" s="32">
        <v>1194</v>
      </c>
      <c r="F7" s="53" t="s">
        <v>62</v>
      </c>
      <c r="G7" s="87">
        <v>2</v>
      </c>
      <c r="H7" s="56"/>
      <c r="M7" s="124">
        <v>10</v>
      </c>
      <c r="O7" s="124">
        <v>38</v>
      </c>
    </row>
    <row r="8" spans="1:16" ht="18" thickTop="1" thickBot="1">
      <c r="A8" s="57"/>
      <c r="B8" s="58"/>
      <c r="C8" s="59"/>
      <c r="D8" s="60"/>
      <c r="E8" s="61"/>
      <c r="F8" s="62"/>
      <c r="G8" s="63"/>
      <c r="H8" s="56"/>
      <c r="M8" s="124">
        <v>20</v>
      </c>
      <c r="O8" s="124">
        <v>65</v>
      </c>
    </row>
    <row r="9" spans="1:16" ht="30" thickTop="1" thickBot="1">
      <c r="A9" s="52"/>
      <c r="B9" s="104" t="s">
        <v>161</v>
      </c>
      <c r="C9" s="64">
        <f>(C7+50)*G7+50</f>
        <v>2550</v>
      </c>
      <c r="D9" s="104" t="s">
        <v>164</v>
      </c>
      <c r="E9" s="64">
        <f>(B12*C12)+((C12-1)*G12)+100</f>
        <v>1194</v>
      </c>
      <c r="F9" s="104" t="s">
        <v>163</v>
      </c>
      <c r="G9" s="64">
        <f>(B12*C12)+((C12-1)*G12)+158</f>
        <v>1252</v>
      </c>
      <c r="H9" s="56"/>
      <c r="O9" s="124">
        <v>100</v>
      </c>
    </row>
    <row r="10" spans="1:16" ht="18" thickTop="1" thickBot="1">
      <c r="A10" s="52"/>
      <c r="B10" s="102" t="s">
        <v>158</v>
      </c>
      <c r="C10" s="66"/>
      <c r="D10" s="65"/>
      <c r="E10" s="101" t="s">
        <v>157</v>
      </c>
      <c r="F10" s="65"/>
      <c r="G10" s="101" t="s">
        <v>157</v>
      </c>
      <c r="H10" s="56"/>
    </row>
    <row r="11" spans="1:16" ht="18" thickTop="1" thickBot="1">
      <c r="A11" s="52"/>
      <c r="B11" s="67" t="s">
        <v>55</v>
      </c>
      <c r="C11" s="68" t="s">
        <v>56</v>
      </c>
      <c r="D11" s="69" t="s">
        <v>57</v>
      </c>
      <c r="E11" s="69" t="s">
        <v>58</v>
      </c>
      <c r="F11" s="69" t="s">
        <v>59</v>
      </c>
      <c r="G11" s="70" t="s">
        <v>60</v>
      </c>
      <c r="H11" s="56"/>
    </row>
    <row r="12" spans="1:16" ht="17.25" thickBot="1">
      <c r="A12" s="52"/>
      <c r="B12" s="28">
        <v>38</v>
      </c>
      <c r="C12" s="29">
        <v>23</v>
      </c>
      <c r="D12" s="30">
        <v>10</v>
      </c>
      <c r="E12" s="30"/>
      <c r="F12" s="30"/>
      <c r="G12" s="71">
        <f>D12+E12+F12</f>
        <v>10</v>
      </c>
      <c r="H12" s="56"/>
      <c r="M12" s="124" t="s">
        <v>63</v>
      </c>
      <c r="N12" s="125">
        <f>(C12-1)*4</f>
        <v>88</v>
      </c>
    </row>
    <row r="13" spans="1:16" ht="18" thickTop="1" thickBot="1">
      <c r="A13" s="57"/>
      <c r="B13" s="72"/>
      <c r="C13" s="73"/>
      <c r="D13" s="74"/>
      <c r="E13" s="74"/>
      <c r="F13" s="74"/>
      <c r="G13" s="75"/>
      <c r="H13" s="76"/>
      <c r="M13" s="124" t="s">
        <v>64</v>
      </c>
      <c r="N13" s="124">
        <f>IF(D12=10,N12,"")</f>
        <v>88</v>
      </c>
      <c r="O13" s="124" t="s">
        <v>65</v>
      </c>
      <c r="P13" s="124" t="str">
        <f>IF(D12=20,N12,"")</f>
        <v/>
      </c>
    </row>
    <row r="14" spans="1:16" ht="18" thickTop="1" thickBot="1">
      <c r="A14" s="52"/>
      <c r="B14" s="53" t="s">
        <v>61</v>
      </c>
      <c r="C14" s="77">
        <f>((E7-100-B12)/(B12+G12))+1</f>
        <v>23</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88</v>
      </c>
      <c r="O16" s="124" t="s">
        <v>76</v>
      </c>
      <c r="P16" s="124">
        <f>SUM(P13:P15)</f>
        <v>0</v>
      </c>
    </row>
    <row r="17" spans="1:21" ht="18" thickTop="1" thickBot="1">
      <c r="A17" s="52"/>
      <c r="B17" s="256" t="s">
        <v>47</v>
      </c>
      <c r="C17" s="257"/>
      <c r="D17" s="109" t="s">
        <v>69</v>
      </c>
      <c r="E17" s="109" t="s">
        <v>1</v>
      </c>
      <c r="F17" s="109" t="s">
        <v>70</v>
      </c>
      <c r="G17" s="110" t="s">
        <v>71</v>
      </c>
      <c r="H17" s="56"/>
    </row>
    <row r="18" spans="1:21" ht="18" thickTop="1" thickBot="1">
      <c r="A18" s="52"/>
      <c r="B18" s="258" t="s">
        <v>74</v>
      </c>
      <c r="C18" s="259"/>
      <c r="D18" s="111" t="s">
        <v>14</v>
      </c>
      <c r="E18" s="111">
        <f>E9-100</f>
        <v>1094</v>
      </c>
      <c r="F18" s="81">
        <f>4*G7</f>
        <v>8</v>
      </c>
      <c r="G18" s="116">
        <f>ROUNDUP(F18/(ROUNDDOWN(VLOOKUP(D18,M19:N23,2,FALSE)/(E18+3),0)),0)</f>
        <v>2</v>
      </c>
      <c r="H18" s="56"/>
    </row>
    <row r="19" spans="1:21" ht="17.25" thickBot="1">
      <c r="A19" s="52"/>
      <c r="B19" s="249" t="s">
        <v>155</v>
      </c>
      <c r="C19" s="250"/>
      <c r="D19" s="278" t="s">
        <v>12</v>
      </c>
      <c r="E19" s="107">
        <f>E9</f>
        <v>1194</v>
      </c>
      <c r="F19" s="260">
        <f>G7+1</f>
        <v>3</v>
      </c>
      <c r="G19" s="261">
        <f>IF(((E21*F21)+(E20*F19)+(E22*F22)&lt;VLOOKUP(D19,M19:N23,2,FALSE)),ROUNDUP(((F21+F19+F22)/3)/(ROUNDDOWN(VLOOKUP(D19,M19:N23,2,FALSE)/(E21+E20+E22+9),0)),0),ROUNDUP(F21/(ROUNDDOWN(VLOOKUP(D19,M19:N23,2,FALSE)/(E21+3),0)),0)+ROUNDUP(F19/(ROUNDDOWN(VLOOKUP(D19,M19:N23,2,FALSE)/(E22+3),0)),0)+ROUNDUP(F22/(ROUNDDOWN(VLOOKUP(D19,M19:N23,2,FALSE)/(E22+3),0)),0))</f>
        <v>3</v>
      </c>
      <c r="H19" s="56"/>
      <c r="M19" s="124" t="s">
        <v>14</v>
      </c>
      <c r="N19" s="124">
        <v>6500</v>
      </c>
    </row>
    <row r="20" spans="1:21" ht="17.25" thickBot="1">
      <c r="A20" s="52"/>
      <c r="B20" s="249" t="s">
        <v>156</v>
      </c>
      <c r="C20" s="250"/>
      <c r="D20" s="279"/>
      <c r="E20" s="107">
        <f>G9</f>
        <v>1252</v>
      </c>
      <c r="F20" s="251"/>
      <c r="G20" s="289"/>
      <c r="H20" s="56"/>
      <c r="M20" s="124" t="s">
        <v>12</v>
      </c>
      <c r="N20" s="124">
        <v>6500</v>
      </c>
    </row>
    <row r="21" spans="1:21" ht="17.25" thickBot="1">
      <c r="A21" s="52"/>
      <c r="B21" s="268" t="s">
        <v>89</v>
      </c>
      <c r="C21" s="269"/>
      <c r="D21" s="279"/>
      <c r="E21" s="113">
        <f>C7</f>
        <v>1200</v>
      </c>
      <c r="F21" s="113">
        <f>2*G7</f>
        <v>4</v>
      </c>
      <c r="G21" s="289"/>
      <c r="H21" s="56"/>
      <c r="M21" s="124" t="s">
        <v>15</v>
      </c>
      <c r="N21" s="124">
        <v>6500</v>
      </c>
    </row>
    <row r="22" spans="1:21" ht="17.25" thickBot="1">
      <c r="A22" s="52"/>
      <c r="B22" s="268" t="s">
        <v>119</v>
      </c>
      <c r="C22" s="269"/>
      <c r="D22" s="280"/>
      <c r="E22" s="113">
        <f>E9-100</f>
        <v>1094</v>
      </c>
      <c r="F22" s="89">
        <f>G7</f>
        <v>2</v>
      </c>
      <c r="G22" s="262"/>
      <c r="H22" s="56"/>
      <c r="M22" s="124" t="s">
        <v>11</v>
      </c>
      <c r="N22" s="124">
        <v>6500</v>
      </c>
    </row>
    <row r="23" spans="1:21" ht="17.25" thickBot="1">
      <c r="A23" s="52"/>
      <c r="B23" s="82" t="s">
        <v>77</v>
      </c>
      <c r="C23" s="83" t="str">
        <f>IF(B12=100,"100 x 16 x 1.2mm",IF(B12=65,"65 x 16 x 1.2mm",IF(B12=38,"38 x 16 x 1.6mm","")))</f>
        <v>38 x 16 x 1.6mm</v>
      </c>
      <c r="D23" s="112" t="str">
        <f>IF(B12=100,"EP12022",IF(B12=65,"EQ6823",IF(B12=38,"EP7822","")))</f>
        <v>EP7822</v>
      </c>
      <c r="E23" s="112">
        <f>C7-12</f>
        <v>1188</v>
      </c>
      <c r="F23" s="117">
        <f>2*C12*G7</f>
        <v>92</v>
      </c>
      <c r="G23" s="118">
        <f>ROUNDUP(F23/(ROUNDDOWN(VLOOKUP(D23,M19:N23,2,FALSE)/(E23+3),0)),0)</f>
        <v>19</v>
      </c>
      <c r="H23" s="56"/>
      <c r="M23" s="124" t="s">
        <v>10</v>
      </c>
      <c r="N23" s="124">
        <v>6500</v>
      </c>
    </row>
    <row r="24" spans="1:21" ht="8.25" customHeight="1" thickTop="1" thickBot="1">
      <c r="A24" s="52"/>
      <c r="B24" s="80"/>
      <c r="C24" s="80"/>
      <c r="D24" s="78"/>
      <c r="E24" s="78"/>
      <c r="F24" s="78"/>
      <c r="G24" s="78"/>
      <c r="H24" s="56"/>
    </row>
    <row r="25" spans="1:21" ht="20.25" thickTop="1" thickBot="1">
      <c r="A25" s="52"/>
      <c r="B25" s="253" t="s">
        <v>78</v>
      </c>
      <c r="C25" s="254"/>
      <c r="D25" s="254"/>
      <c r="E25" s="254"/>
      <c r="F25" s="254"/>
      <c r="G25" s="255"/>
      <c r="H25" s="56"/>
    </row>
    <row r="26" spans="1:21" ht="18" thickTop="1" thickBot="1">
      <c r="A26" s="52"/>
      <c r="B26" s="256" t="s">
        <v>79</v>
      </c>
      <c r="C26" s="257"/>
      <c r="D26" s="109" t="s">
        <v>80</v>
      </c>
      <c r="E26" s="109" t="s">
        <v>81</v>
      </c>
      <c r="F26" s="263" t="s">
        <v>70</v>
      </c>
      <c r="G26" s="264"/>
      <c r="H26" s="56"/>
    </row>
    <row r="27" spans="1:21" ht="18" thickTop="1" thickBot="1">
      <c r="A27" s="52"/>
      <c r="B27" s="249" t="s">
        <v>84</v>
      </c>
      <c r="C27" s="250"/>
      <c r="D27" s="107">
        <v>317671</v>
      </c>
      <c r="E27" s="107" t="s">
        <v>83</v>
      </c>
      <c r="F27" s="251">
        <f>N16*G7</f>
        <v>176</v>
      </c>
      <c r="G27" s="252"/>
      <c r="H27" s="56"/>
    </row>
    <row r="28" spans="1:21" ht="17.25" thickBot="1">
      <c r="A28" s="52"/>
      <c r="B28" s="249" t="s">
        <v>85</v>
      </c>
      <c r="C28" s="250"/>
      <c r="D28" s="107">
        <v>317672</v>
      </c>
      <c r="E28" s="107" t="s">
        <v>83</v>
      </c>
      <c r="F28" s="251">
        <f>P16*G7</f>
        <v>0</v>
      </c>
      <c r="G28" s="252"/>
      <c r="H28" s="56"/>
      <c r="S28" s="124">
        <f>E20*F19</f>
        <v>3756</v>
      </c>
    </row>
    <row r="29" spans="1:21" ht="17.25" thickBot="1">
      <c r="A29" s="52"/>
      <c r="B29" s="249" t="s">
        <v>162</v>
      </c>
      <c r="C29" s="250"/>
      <c r="D29" s="107">
        <v>317676</v>
      </c>
      <c r="E29" s="107" t="s">
        <v>83</v>
      </c>
      <c r="F29" s="260">
        <f>N12*G7</f>
        <v>176</v>
      </c>
      <c r="G29" s="267"/>
      <c r="H29" s="56"/>
      <c r="S29" s="124">
        <f>E22*F22</f>
        <v>2188</v>
      </c>
    </row>
    <row r="30" spans="1:21" ht="17.25" thickBot="1">
      <c r="A30" s="52"/>
      <c r="B30" s="249" t="s">
        <v>180</v>
      </c>
      <c r="C30" s="250"/>
      <c r="D30" s="107">
        <v>301086</v>
      </c>
      <c r="E30" s="107" t="s">
        <v>83</v>
      </c>
      <c r="F30" s="260">
        <f>MAX((4*(ROUNDUP((E18/300),0)+1)*G7),4)</f>
        <v>40</v>
      </c>
      <c r="G30" s="267"/>
      <c r="H30" s="56"/>
      <c r="S30" s="124">
        <f>E21*F21</f>
        <v>4800</v>
      </c>
    </row>
    <row r="31" spans="1:21" s="46" customFormat="1" ht="17.25" thickBot="1">
      <c r="A31" s="52"/>
      <c r="B31" s="249" t="s">
        <v>87</v>
      </c>
      <c r="C31" s="250"/>
      <c r="D31" s="103" t="s">
        <v>159</v>
      </c>
      <c r="E31" s="107" t="s">
        <v>83</v>
      </c>
      <c r="F31" s="270">
        <f>MAX((4*(ROUNDUP((E19/300),0)+1)*G7),4)</f>
        <v>40</v>
      </c>
      <c r="G31" s="271"/>
      <c r="H31" s="56"/>
      <c r="I31" s="124"/>
      <c r="J31" s="124"/>
      <c r="K31" s="124"/>
      <c r="L31" s="124"/>
      <c r="M31" s="124"/>
      <c r="N31" s="124"/>
      <c r="O31" s="124"/>
      <c r="P31" s="124"/>
      <c r="Q31" s="124"/>
      <c r="R31" s="124"/>
      <c r="S31" s="124"/>
      <c r="T31" s="124"/>
      <c r="U31" s="124"/>
    </row>
    <row r="32" spans="1:21" ht="17.25" thickBot="1">
      <c r="A32" s="52"/>
      <c r="B32" s="268" t="s">
        <v>115</v>
      </c>
      <c r="C32" s="269"/>
      <c r="D32" s="107">
        <v>301620</v>
      </c>
      <c r="E32" s="107" t="s">
        <v>83</v>
      </c>
      <c r="F32" s="270">
        <f>6*G7</f>
        <v>12</v>
      </c>
      <c r="G32" s="271"/>
      <c r="H32" s="56"/>
      <c r="S32" s="124">
        <f>SUM(S28:S30)</f>
        <v>10744</v>
      </c>
    </row>
    <row r="33" spans="1:21" ht="17.25" thickBot="1">
      <c r="A33" s="52"/>
      <c r="B33" s="268" t="s">
        <v>179</v>
      </c>
      <c r="C33" s="269"/>
      <c r="D33" s="107">
        <v>301086</v>
      </c>
      <c r="E33" s="107" t="s">
        <v>83</v>
      </c>
      <c r="F33" s="270">
        <f>3*F32</f>
        <v>36</v>
      </c>
      <c r="G33" s="271"/>
      <c r="H33" s="56"/>
      <c r="S33" s="124">
        <f>S32/6500</f>
        <v>1.6529230769230769</v>
      </c>
    </row>
    <row r="34" spans="1:21" ht="17.25" thickBot="1">
      <c r="A34" s="52"/>
      <c r="B34" s="272" t="s">
        <v>23</v>
      </c>
      <c r="C34" s="273"/>
      <c r="D34" s="112">
        <v>301405</v>
      </c>
      <c r="E34" s="112" t="s">
        <v>83</v>
      </c>
      <c r="F34" s="274">
        <f>F19</f>
        <v>3</v>
      </c>
      <c r="G34" s="275"/>
      <c r="H34" s="56"/>
    </row>
    <row r="35" spans="1:21" ht="8.25" customHeight="1" thickTop="1" thickBot="1">
      <c r="A35" s="52"/>
      <c r="B35" s="85"/>
      <c r="C35" s="85"/>
      <c r="D35" s="78"/>
      <c r="E35" s="78"/>
      <c r="F35" s="86"/>
      <c r="G35" s="86"/>
      <c r="H35" s="56"/>
    </row>
    <row r="36" spans="1:21" ht="20.25" thickTop="1" thickBot="1">
      <c r="A36" s="52"/>
      <c r="B36" s="253" t="s">
        <v>130</v>
      </c>
      <c r="C36" s="254"/>
      <c r="D36" s="254"/>
      <c r="E36" s="254"/>
      <c r="F36" s="254"/>
      <c r="G36" s="255"/>
      <c r="H36" s="56"/>
    </row>
    <row r="37" spans="1:21" ht="18" thickTop="1" thickBot="1">
      <c r="A37" s="52"/>
      <c r="B37" s="256" t="s">
        <v>125</v>
      </c>
      <c r="C37" s="257"/>
      <c r="D37" s="109" t="s">
        <v>126</v>
      </c>
      <c r="E37" s="109" t="s">
        <v>127</v>
      </c>
      <c r="F37" s="109" t="s">
        <v>70</v>
      </c>
      <c r="G37" s="110" t="s">
        <v>71</v>
      </c>
      <c r="H37" s="56"/>
    </row>
    <row r="38" spans="1:21" ht="18" thickTop="1" thickBot="1">
      <c r="A38" s="52"/>
      <c r="B38" s="258" t="s">
        <v>124</v>
      </c>
      <c r="C38" s="259"/>
      <c r="D38" s="111" t="s">
        <v>11</v>
      </c>
      <c r="E38" s="111">
        <f>E9-104</f>
        <v>1090</v>
      </c>
      <c r="F38" s="81">
        <f>2*G7</f>
        <v>4</v>
      </c>
      <c r="G38" s="116">
        <f>ROUNDUP(F38/(ROUNDDOWN(VLOOKUP(D38,M19:N23,2,FALSE)/(E38+3),0)),0)</f>
        <v>1</v>
      </c>
      <c r="H38" s="56"/>
    </row>
    <row r="39" spans="1:21" ht="17.25" thickBot="1">
      <c r="A39" s="52"/>
      <c r="B39" s="249" t="s">
        <v>129</v>
      </c>
      <c r="C39" s="250"/>
      <c r="D39" s="107">
        <v>308945</v>
      </c>
      <c r="E39" s="107" t="s">
        <v>83</v>
      </c>
      <c r="F39" s="251">
        <f>4*G7</f>
        <v>8</v>
      </c>
      <c r="G39" s="252"/>
      <c r="H39" s="56"/>
    </row>
    <row r="40" spans="1:21" ht="17.25" thickBot="1">
      <c r="A40" s="52"/>
      <c r="B40" s="249" t="s">
        <v>128</v>
      </c>
      <c r="C40" s="250"/>
      <c r="D40" s="107">
        <v>301086</v>
      </c>
      <c r="E40" s="107" t="s">
        <v>83</v>
      </c>
      <c r="F40" s="251">
        <f>4*G7</f>
        <v>8</v>
      </c>
      <c r="G40" s="252"/>
      <c r="H40" s="56"/>
    </row>
    <row r="41" spans="1:21" s="46" customFormat="1" ht="17.25" thickBot="1">
      <c r="A41" s="52"/>
      <c r="B41" s="268" t="s">
        <v>132</v>
      </c>
      <c r="C41" s="269"/>
      <c r="D41" s="113">
        <v>317077</v>
      </c>
      <c r="E41" s="113" t="s">
        <v>131</v>
      </c>
      <c r="F41" s="276">
        <f>C12*G7*2*20</f>
        <v>1840</v>
      </c>
      <c r="G41" s="277"/>
      <c r="H41" s="56"/>
      <c r="I41" s="124"/>
      <c r="J41" s="124"/>
      <c r="K41" s="124"/>
      <c r="L41" s="124"/>
      <c r="M41" s="124"/>
      <c r="N41" s="124"/>
      <c r="O41" s="124"/>
      <c r="P41" s="124"/>
      <c r="Q41" s="124"/>
      <c r="R41" s="124"/>
      <c r="S41" s="124"/>
      <c r="T41" s="124"/>
      <c r="U41" s="124"/>
    </row>
    <row r="42" spans="1:21" ht="17.25" thickBot="1">
      <c r="A42" s="52"/>
      <c r="B42" s="272" t="s">
        <v>86</v>
      </c>
      <c r="C42" s="273"/>
      <c r="D42" s="112">
        <v>309327</v>
      </c>
      <c r="E42" s="112" t="s">
        <v>83</v>
      </c>
      <c r="F42" s="274">
        <f>4*G7</f>
        <v>8</v>
      </c>
      <c r="G42" s="275"/>
      <c r="H42" s="56"/>
    </row>
    <row r="43" spans="1:21" ht="17.25" thickTop="1">
      <c r="A43" s="33"/>
      <c r="B43" s="36"/>
      <c r="C43" s="36"/>
      <c r="D43" s="10"/>
      <c r="E43" s="10"/>
      <c r="F43" s="10"/>
      <c r="G43" s="10"/>
      <c r="H43" s="34"/>
    </row>
    <row r="44" spans="1:21" s="46" customFormat="1" ht="16.5">
      <c r="A44" s="33"/>
      <c r="B44" s="36"/>
      <c r="C44" s="36"/>
      <c r="D44" s="10"/>
      <c r="E44" s="10"/>
      <c r="F44" s="10"/>
      <c r="G44" s="11"/>
      <c r="H44" s="290"/>
      <c r="I44" s="124"/>
      <c r="J44" s="124"/>
      <c r="K44" s="124"/>
      <c r="L44" s="124"/>
      <c r="M44" s="124"/>
      <c r="N44" s="124"/>
      <c r="O44" s="124"/>
      <c r="P44" s="124"/>
      <c r="Q44" s="124"/>
      <c r="R44" s="124"/>
      <c r="S44" s="124"/>
      <c r="T44" s="124"/>
      <c r="U44" s="124"/>
    </row>
    <row r="45" spans="1:21" ht="16.5">
      <c r="A45" s="33"/>
      <c r="B45" s="36"/>
      <c r="C45" s="36"/>
      <c r="D45" s="10"/>
      <c r="E45" s="10"/>
      <c r="F45" s="10"/>
      <c r="G45" s="120"/>
      <c r="H45" s="290"/>
    </row>
    <row r="46" spans="1:21" ht="16.5">
      <c r="A46" s="33"/>
      <c r="B46" s="36"/>
      <c r="C46" s="36"/>
      <c r="D46" s="10"/>
      <c r="E46" s="10"/>
      <c r="F46" s="10"/>
      <c r="G46" s="11"/>
      <c r="H46" s="290"/>
    </row>
    <row r="47" spans="1:21" ht="15" customHeight="1">
      <c r="A47" s="38"/>
      <c r="B47" s="39"/>
      <c r="C47" s="39"/>
      <c r="D47" s="35"/>
      <c r="E47" s="35"/>
      <c r="F47" s="35"/>
      <c r="G47" s="11"/>
      <c r="H47" s="290"/>
    </row>
    <row r="48" spans="1:21" ht="15" customHeight="1">
      <c r="A48" s="38"/>
      <c r="B48" s="39"/>
      <c r="C48" s="39"/>
      <c r="D48" s="35"/>
      <c r="E48" s="35"/>
      <c r="F48" s="35"/>
      <c r="G48" s="11"/>
      <c r="H48" s="290"/>
    </row>
    <row r="49" spans="1:21" ht="15" customHeight="1">
      <c r="A49" s="38"/>
      <c r="B49" s="39"/>
      <c r="C49" s="39"/>
      <c r="D49" s="35"/>
      <c r="E49" s="35"/>
      <c r="F49" s="35"/>
      <c r="G49" s="11"/>
      <c r="H49" s="290"/>
    </row>
    <row r="50" spans="1:21" ht="15" customHeight="1">
      <c r="A50" s="38"/>
      <c r="B50" s="39"/>
      <c r="C50" s="39"/>
      <c r="D50" s="35"/>
      <c r="E50" s="35"/>
      <c r="F50" s="35"/>
      <c r="G50" s="11"/>
      <c r="H50" s="290"/>
    </row>
    <row r="51" spans="1:21" ht="15" customHeight="1">
      <c r="A51" s="38"/>
      <c r="B51" s="39"/>
      <c r="C51" s="39"/>
      <c r="D51" s="35"/>
      <c r="E51" s="35"/>
      <c r="F51" s="35"/>
      <c r="G51" s="11"/>
      <c r="H51" s="290"/>
    </row>
    <row r="52" spans="1:21" s="46" customFormat="1" ht="15" customHeight="1">
      <c r="A52" s="38"/>
      <c r="B52" s="39"/>
      <c r="C52" s="39"/>
      <c r="D52" s="35"/>
      <c r="E52" s="35"/>
      <c r="F52" s="35"/>
      <c r="G52" s="11"/>
      <c r="H52" s="290"/>
      <c r="I52" s="124"/>
      <c r="J52" s="124"/>
      <c r="K52" s="124"/>
      <c r="L52" s="124"/>
      <c r="M52" s="124"/>
      <c r="N52" s="124"/>
      <c r="O52" s="124"/>
      <c r="P52" s="124"/>
      <c r="Q52" s="124"/>
      <c r="R52" s="124"/>
      <c r="S52" s="124"/>
      <c r="T52" s="124"/>
      <c r="U52" s="124"/>
    </row>
    <row r="53" spans="1:21" ht="15" customHeight="1">
      <c r="A53" s="38"/>
      <c r="B53" s="39"/>
      <c r="C53" s="39"/>
      <c r="D53" s="35"/>
      <c r="E53" s="35"/>
      <c r="F53" s="35"/>
      <c r="G53" s="11"/>
      <c r="H53" s="290"/>
    </row>
    <row r="54" spans="1:21" ht="15" customHeight="1">
      <c r="A54" s="38"/>
      <c r="B54" s="39"/>
      <c r="C54" s="39"/>
      <c r="D54" s="35"/>
      <c r="E54" s="35"/>
      <c r="F54" s="35"/>
      <c r="G54" s="11"/>
      <c r="H54" s="290"/>
    </row>
    <row r="55" spans="1:21" ht="15" customHeight="1">
      <c r="A55" s="38"/>
      <c r="B55" s="39"/>
      <c r="C55" s="39"/>
      <c r="D55" s="35"/>
      <c r="E55" s="35"/>
      <c r="F55" s="35"/>
      <c r="G55" s="11"/>
      <c r="H55" s="290"/>
    </row>
    <row r="56" spans="1:21" ht="15" customHeight="1">
      <c r="A56" s="38"/>
      <c r="B56" s="39"/>
      <c r="C56" s="39"/>
      <c r="D56" s="35"/>
      <c r="E56" s="35"/>
      <c r="F56" s="35"/>
      <c r="G56" s="11"/>
      <c r="H56" s="290"/>
    </row>
    <row r="57" spans="1:21" ht="15" customHeight="1">
      <c r="A57" s="38"/>
      <c r="B57" s="39"/>
      <c r="C57" s="39"/>
      <c r="D57" s="35"/>
      <c r="E57" s="35"/>
      <c r="F57" s="35"/>
      <c r="G57" s="11"/>
      <c r="H57" s="290"/>
    </row>
    <row r="58" spans="1:21" ht="15" customHeight="1">
      <c r="A58" s="38"/>
      <c r="B58" s="39"/>
      <c r="C58" s="39"/>
      <c r="D58" s="35"/>
      <c r="E58" s="35"/>
      <c r="F58" s="35"/>
      <c r="G58" s="11"/>
      <c r="H58" s="290"/>
    </row>
    <row r="59" spans="1:21" ht="15" customHeight="1">
      <c r="A59" s="38"/>
      <c r="B59" s="39"/>
      <c r="C59" s="39"/>
      <c r="D59" s="35"/>
      <c r="E59" s="35"/>
      <c r="F59" s="35"/>
      <c r="G59" s="11"/>
      <c r="H59" s="290"/>
    </row>
    <row r="60" spans="1:21" ht="15" customHeight="1">
      <c r="A60" s="38"/>
      <c r="B60" s="39"/>
      <c r="C60" s="39"/>
      <c r="D60" s="35"/>
      <c r="E60" s="35"/>
      <c r="F60" s="35"/>
      <c r="G60" s="11"/>
      <c r="H60" s="290"/>
    </row>
    <row r="61" spans="1:21" ht="15" customHeight="1">
      <c r="A61" s="38"/>
      <c r="B61" s="39"/>
      <c r="C61" s="39"/>
      <c r="D61" s="35"/>
      <c r="E61" s="35"/>
      <c r="F61" s="35"/>
      <c r="G61" s="11"/>
      <c r="H61" s="290"/>
    </row>
    <row r="62" spans="1:21" ht="15" customHeight="1">
      <c r="A62" s="38"/>
      <c r="B62" s="39"/>
      <c r="C62" s="39"/>
      <c r="D62" s="35"/>
      <c r="E62" s="35"/>
      <c r="F62" s="35"/>
      <c r="G62" s="11"/>
      <c r="H62" s="290"/>
    </row>
    <row r="63" spans="1:21" s="46" customFormat="1">
      <c r="A63" s="38"/>
      <c r="B63" s="39"/>
      <c r="C63" s="39"/>
      <c r="D63" s="35"/>
      <c r="E63" s="35"/>
      <c r="F63" s="35"/>
      <c r="G63" s="35"/>
      <c r="H63" s="37"/>
      <c r="I63" s="124"/>
      <c r="J63" s="124"/>
      <c r="K63" s="124"/>
      <c r="L63" s="124"/>
      <c r="M63" s="124"/>
      <c r="N63" s="124"/>
      <c r="O63" s="124"/>
      <c r="P63" s="124"/>
      <c r="Q63" s="124"/>
      <c r="R63" s="124"/>
      <c r="S63" s="124"/>
      <c r="T63" s="124"/>
      <c r="U63" s="124"/>
    </row>
    <row r="64" spans="1:21">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c r="A68" s="39"/>
      <c r="B68" s="39"/>
      <c r="C68" s="39"/>
      <c r="D68" s="35"/>
      <c r="E68" s="35"/>
      <c r="F68" s="35"/>
      <c r="G68" s="35"/>
      <c r="H68" s="39"/>
    </row>
    <row r="69" spans="1:8">
      <c r="A69" s="39"/>
      <c r="B69" s="39"/>
      <c r="C69" s="39"/>
      <c r="D69" s="35"/>
      <c r="E69" s="35"/>
      <c r="F69" s="35"/>
      <c r="G69" s="35"/>
      <c r="H69" s="39"/>
    </row>
    <row r="70" spans="1:8">
      <c r="A70" s="39"/>
      <c r="B70" s="39"/>
      <c r="C70" s="39"/>
      <c r="D70" s="35"/>
      <c r="E70" s="35"/>
      <c r="F70" s="35"/>
      <c r="G70" s="35"/>
      <c r="H70" s="39"/>
    </row>
    <row r="71" spans="1:8">
      <c r="A71" s="39"/>
      <c r="B71" s="39"/>
      <c r="C71" s="39"/>
      <c r="D71" s="35"/>
      <c r="E71" s="35"/>
      <c r="F71" s="35"/>
      <c r="G71" s="35"/>
      <c r="H71" s="39"/>
    </row>
    <row r="72" spans="1:8">
      <c r="A72" s="39"/>
      <c r="B72" s="39"/>
      <c r="C72" s="39"/>
      <c r="D72" s="35"/>
      <c r="E72" s="35"/>
      <c r="F72" s="35"/>
      <c r="G72" s="35"/>
      <c r="H72" s="39"/>
    </row>
  </sheetData>
  <sheetProtection password="DE70" sheet="1" objects="1" scenarios="1"/>
  <mergeCells count="48">
    <mergeCell ref="H44:H62"/>
    <mergeCell ref="B34:C34"/>
    <mergeCell ref="F34:G34"/>
    <mergeCell ref="B33:C33"/>
    <mergeCell ref="F33:G33"/>
    <mergeCell ref="B40:C40"/>
    <mergeCell ref="F40:G40"/>
    <mergeCell ref="B42:C42"/>
    <mergeCell ref="F42:G42"/>
    <mergeCell ref="B41:C41"/>
    <mergeCell ref="F41:G41"/>
    <mergeCell ref="B36:G36"/>
    <mergeCell ref="B37:C37"/>
    <mergeCell ref="F30:G30"/>
    <mergeCell ref="B32:C32"/>
    <mergeCell ref="F32:G32"/>
    <mergeCell ref="B28:C28"/>
    <mergeCell ref="B31:C31"/>
    <mergeCell ref="F31:G31"/>
    <mergeCell ref="B64:G66"/>
    <mergeCell ref="B38:C38"/>
    <mergeCell ref="B39:C39"/>
    <mergeCell ref="F39:G39"/>
    <mergeCell ref="B21:C21"/>
    <mergeCell ref="D19:D22"/>
    <mergeCell ref="B22:C22"/>
    <mergeCell ref="B25:G25"/>
    <mergeCell ref="B26:C26"/>
    <mergeCell ref="F26:G26"/>
    <mergeCell ref="F28:G28"/>
    <mergeCell ref="B29:C29"/>
    <mergeCell ref="F29:G29"/>
    <mergeCell ref="B27:C27"/>
    <mergeCell ref="F27:G27"/>
    <mergeCell ref="B30:C30"/>
    <mergeCell ref="A1:H2"/>
    <mergeCell ref="A3:C3"/>
    <mergeCell ref="D3:H3"/>
    <mergeCell ref="A4:C4"/>
    <mergeCell ref="D4:H4"/>
    <mergeCell ref="A5:H5"/>
    <mergeCell ref="B16:G16"/>
    <mergeCell ref="B17:C17"/>
    <mergeCell ref="B18:C18"/>
    <mergeCell ref="B19:C19"/>
    <mergeCell ref="F19:F20"/>
    <mergeCell ref="B20:C20"/>
    <mergeCell ref="G19:G22"/>
  </mergeCells>
  <dataValidations count="4">
    <dataValidation type="list" allowBlank="1" showInputMessage="1" showErrorMessage="1" sqref="D13:F13">
      <formula1>ccc</formula1>
    </dataValidation>
    <dataValidation type="list" allowBlank="1" showInputMessage="1" showErrorMessage="1" sqref="B12:B13">
      <formula1>$O$7:$O$9</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 Aug, 17&amp;R&amp;A</oddFooter>
  </headerFooter>
  <drawing r:id="rId2"/>
</worksheet>
</file>

<file path=xl/worksheets/sheet8.xml><?xml version="1.0" encoding="utf-8"?>
<worksheet xmlns="http://schemas.openxmlformats.org/spreadsheetml/2006/main" xmlns:r="http://schemas.openxmlformats.org/officeDocument/2006/relationships">
  <dimension ref="A1:U68"/>
  <sheetViews>
    <sheetView showGridLines="0" showWhiteSpace="0" view="pageLayout" zoomScaleNormal="100" zoomScaleSheetLayoutView="100" workbookViewId="0">
      <selection activeCell="D12" sqref="D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1" width="9.125" style="124"/>
    <col min="22"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148</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53" t="s">
        <v>90</v>
      </c>
      <c r="C7" s="31">
        <v>1200</v>
      </c>
      <c r="D7" s="54" t="s">
        <v>92</v>
      </c>
      <c r="E7" s="32">
        <v>1206</v>
      </c>
      <c r="F7" s="55" t="s">
        <v>62</v>
      </c>
      <c r="G7" s="87">
        <v>2</v>
      </c>
      <c r="H7" s="56"/>
      <c r="M7" s="124">
        <v>10</v>
      </c>
      <c r="O7" s="124">
        <v>38</v>
      </c>
    </row>
    <row r="8" spans="1:16" ht="18" thickTop="1" thickBot="1">
      <c r="A8" s="57"/>
      <c r="B8" s="58"/>
      <c r="C8" s="59"/>
      <c r="D8" s="60"/>
      <c r="E8" s="61"/>
      <c r="F8" s="62"/>
      <c r="G8" s="63"/>
      <c r="H8" s="56"/>
      <c r="M8" s="124">
        <v>20</v>
      </c>
      <c r="O8" s="124">
        <v>65</v>
      </c>
    </row>
    <row r="9" spans="1:16" ht="30.75" thickTop="1" thickBot="1">
      <c r="A9" s="52"/>
      <c r="B9" s="106" t="s">
        <v>161</v>
      </c>
      <c r="C9" s="64">
        <f>(C7+50)*G7+50</f>
        <v>2550</v>
      </c>
      <c r="D9" s="104" t="s">
        <v>181</v>
      </c>
      <c r="E9" s="64">
        <f>(B12*C12)+((C12-1)*G12)+112</f>
        <v>1206</v>
      </c>
      <c r="F9" s="104" t="s">
        <v>182</v>
      </c>
      <c r="G9" s="64">
        <f>(B12*C12)+((C12-1)*G12)+112+58</f>
        <v>1264</v>
      </c>
      <c r="H9" s="56"/>
      <c r="O9" s="124">
        <v>100</v>
      </c>
    </row>
    <row r="10" spans="1:16" ht="18" thickTop="1" thickBot="1">
      <c r="A10" s="52"/>
      <c r="B10" s="102" t="s">
        <v>158</v>
      </c>
      <c r="C10" s="66"/>
      <c r="D10" s="65"/>
      <c r="E10" s="101" t="s">
        <v>157</v>
      </c>
      <c r="F10" s="65"/>
      <c r="G10" s="101" t="s">
        <v>157</v>
      </c>
      <c r="H10" s="56"/>
    </row>
    <row r="11" spans="1:16" ht="18" thickTop="1" thickBot="1">
      <c r="A11" s="52"/>
      <c r="B11" s="67" t="s">
        <v>55</v>
      </c>
      <c r="C11" s="68" t="s">
        <v>56</v>
      </c>
      <c r="D11" s="69" t="s">
        <v>57</v>
      </c>
      <c r="E11" s="69" t="s">
        <v>58</v>
      </c>
      <c r="F11" s="69" t="s">
        <v>59</v>
      </c>
      <c r="G11" s="70" t="s">
        <v>60</v>
      </c>
      <c r="H11" s="56"/>
    </row>
    <row r="12" spans="1:16" ht="17.25" thickBot="1">
      <c r="A12" s="52"/>
      <c r="B12" s="28">
        <v>38</v>
      </c>
      <c r="C12" s="29">
        <v>23</v>
      </c>
      <c r="D12" s="30">
        <v>10</v>
      </c>
      <c r="E12" s="30"/>
      <c r="F12" s="30"/>
      <c r="G12" s="71">
        <f>D12+E12+F12</f>
        <v>10</v>
      </c>
      <c r="H12" s="56"/>
      <c r="M12" s="124" t="s">
        <v>63</v>
      </c>
      <c r="N12" s="125">
        <f>(C12-1)*4</f>
        <v>88</v>
      </c>
    </row>
    <row r="13" spans="1:16" ht="18" thickTop="1" thickBot="1">
      <c r="A13" s="57"/>
      <c r="B13" s="72"/>
      <c r="C13" s="73"/>
      <c r="D13" s="74"/>
      <c r="E13" s="74"/>
      <c r="F13" s="74"/>
      <c r="G13" s="75"/>
      <c r="H13" s="76"/>
      <c r="M13" s="124" t="s">
        <v>64</v>
      </c>
      <c r="N13" s="124">
        <f>IF(D12=10,N12,"")</f>
        <v>88</v>
      </c>
      <c r="O13" s="124" t="s">
        <v>65</v>
      </c>
      <c r="P13" s="124" t="str">
        <f>IF(D12=20,N12,"")</f>
        <v/>
      </c>
    </row>
    <row r="14" spans="1:16" ht="18" thickTop="1" thickBot="1">
      <c r="A14" s="52"/>
      <c r="B14" s="53" t="s">
        <v>61</v>
      </c>
      <c r="C14" s="77">
        <f>((E7-112-B12)/(B12+G12))+1</f>
        <v>23</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88</v>
      </c>
      <c r="O16" s="124" t="s">
        <v>76</v>
      </c>
      <c r="P16" s="124">
        <f>SUM(P13:P15)</f>
        <v>0</v>
      </c>
    </row>
    <row r="17" spans="1:21" ht="18" thickTop="1" thickBot="1">
      <c r="A17" s="52"/>
      <c r="B17" s="256" t="s">
        <v>47</v>
      </c>
      <c r="C17" s="257"/>
      <c r="D17" s="109" t="s">
        <v>69</v>
      </c>
      <c r="E17" s="109" t="s">
        <v>1</v>
      </c>
      <c r="F17" s="109" t="s">
        <v>70</v>
      </c>
      <c r="G17" s="110" t="s">
        <v>71</v>
      </c>
      <c r="H17" s="56"/>
    </row>
    <row r="18" spans="1:21" ht="18" thickTop="1" thickBot="1">
      <c r="A18" s="52"/>
      <c r="B18" s="258" t="s">
        <v>118</v>
      </c>
      <c r="C18" s="259"/>
      <c r="D18" s="288" t="s">
        <v>14</v>
      </c>
      <c r="E18" s="111">
        <f>C7-70</f>
        <v>1130</v>
      </c>
      <c r="F18" s="81">
        <f>G7*4</f>
        <v>8</v>
      </c>
      <c r="G18" s="291">
        <f>IF(((E18*F18)+(E19*F19)&lt;VLOOKUP(D18,M19:N24,2,FALSE)),ROUNDUP(((F19+F18)/2)/(ROUNDDOWN(VLOOKUP(D18,M19:N24,2,FALSE)/(E18+E19+6),0)),0),ROUNDUP(F19/(ROUNDDOWN(VLOOKUP(D18,M19:N24,2,FALSE)/(E19+3),0)),0)+ROUNDUP(F18/(ROUNDDOWN(VLOOKUP(D18,M19:N24,2,FALSE)/(E18+3),0)),0))</f>
        <v>4</v>
      </c>
      <c r="H18" s="56"/>
    </row>
    <row r="19" spans="1:21" ht="17.25" thickBot="1">
      <c r="A19" s="52"/>
      <c r="B19" s="284" t="s">
        <v>117</v>
      </c>
      <c r="C19" s="285"/>
      <c r="D19" s="280"/>
      <c r="E19" s="114">
        <f>E9-100</f>
        <v>1106</v>
      </c>
      <c r="F19" s="88">
        <f>4*G7</f>
        <v>8</v>
      </c>
      <c r="G19" s="292"/>
      <c r="H19" s="56"/>
      <c r="M19" s="124" t="s">
        <v>14</v>
      </c>
      <c r="N19" s="124">
        <v>6500</v>
      </c>
    </row>
    <row r="20" spans="1:21" ht="17.25" thickBot="1">
      <c r="A20" s="52"/>
      <c r="B20" s="249" t="s">
        <v>183</v>
      </c>
      <c r="C20" s="250"/>
      <c r="D20" s="278" t="s">
        <v>12</v>
      </c>
      <c r="E20" s="107">
        <f>E9</f>
        <v>1206</v>
      </c>
      <c r="F20" s="260">
        <f>G7+1</f>
        <v>3</v>
      </c>
      <c r="G20" s="261">
        <f>IF(((E22*F22)+(E21*F20)&lt;VLOOKUP(D20,M19:N24,2,FALSE)),ROUNDUP(((F22+F20)/2)/(ROUNDDOWN(VLOOKUP(D20,M19:N24,2,FALSE)/(E22+E21+6),0)),0),ROUNDUP(F22/(ROUNDDOWN(VLOOKUP(D20,M19:N24,2,FALSE)/(E22+3),0)),0)+ROUNDUP(F20/(ROUNDDOWN(VLOOKUP(D20,M19:N24,2,FALSE)/(E21+3),0)),0))</f>
        <v>2</v>
      </c>
      <c r="H20" s="56"/>
      <c r="M20" s="124" t="s">
        <v>12</v>
      </c>
      <c r="N20" s="124">
        <v>6500</v>
      </c>
    </row>
    <row r="21" spans="1:21" ht="17.25" thickBot="1">
      <c r="A21" s="52"/>
      <c r="B21" s="249" t="s">
        <v>184</v>
      </c>
      <c r="C21" s="250"/>
      <c r="D21" s="279"/>
      <c r="E21" s="107">
        <f>E9+58</f>
        <v>1264</v>
      </c>
      <c r="F21" s="251"/>
      <c r="G21" s="289"/>
      <c r="H21" s="56"/>
      <c r="M21" s="124" t="s">
        <v>15</v>
      </c>
      <c r="N21" s="124">
        <v>6500</v>
      </c>
    </row>
    <row r="22" spans="1:21" ht="17.25" thickBot="1">
      <c r="A22" s="52"/>
      <c r="B22" s="268" t="s">
        <v>89</v>
      </c>
      <c r="C22" s="269"/>
      <c r="D22" s="279"/>
      <c r="E22" s="113">
        <f>C7</f>
        <v>1200</v>
      </c>
      <c r="F22" s="113">
        <f>2*G7</f>
        <v>4</v>
      </c>
      <c r="G22" s="262"/>
      <c r="H22" s="56"/>
      <c r="M22" s="124" t="s">
        <v>11</v>
      </c>
      <c r="N22" s="124">
        <v>6500</v>
      </c>
    </row>
    <row r="23" spans="1:21" s="46" customFormat="1" ht="17.25" thickBot="1">
      <c r="A23" s="52"/>
      <c r="B23" s="268" t="s">
        <v>119</v>
      </c>
      <c r="C23" s="269"/>
      <c r="D23" s="280"/>
      <c r="E23" s="113">
        <f>E9-100</f>
        <v>1106</v>
      </c>
      <c r="F23" s="89">
        <f>G7</f>
        <v>2</v>
      </c>
      <c r="G23" s="115"/>
      <c r="H23" s="56"/>
      <c r="I23" s="124"/>
      <c r="J23" s="124"/>
      <c r="K23" s="124"/>
      <c r="L23" s="124"/>
      <c r="M23" s="124"/>
      <c r="N23" s="124"/>
      <c r="O23" s="124"/>
      <c r="P23" s="124"/>
      <c r="Q23" s="124"/>
      <c r="R23" s="124"/>
      <c r="S23" s="124"/>
      <c r="T23" s="124"/>
      <c r="U23" s="124"/>
    </row>
    <row r="24" spans="1:21" ht="17.25" thickBot="1">
      <c r="A24" s="52"/>
      <c r="B24" s="82" t="s">
        <v>77</v>
      </c>
      <c r="C24" s="83" t="str">
        <f>IF(B12=100,"100 x 16 x 1.2mm",IF(B12=65,"65 x 16 x 1.2mm",IF(B12=38,"38 x 16 x 1.6mm","")))</f>
        <v>38 x 16 x 1.6mm</v>
      </c>
      <c r="D24" s="112" t="str">
        <f>IF(B12=100,"EP12022",IF(B12=65,"EQ6823",IF(B12=38,"EP7822","")))</f>
        <v>EP7822</v>
      </c>
      <c r="E24" s="112">
        <f>C7-12</f>
        <v>1188</v>
      </c>
      <c r="F24" s="117">
        <f>2*C12*G7</f>
        <v>92</v>
      </c>
      <c r="G24" s="118">
        <f>ROUNDUP(F24/(ROUNDDOWN(VLOOKUP(D24,M19:N24,2,FALSE)/(E24+3),0)),0)</f>
        <v>19</v>
      </c>
      <c r="H24" s="56"/>
      <c r="M24" s="124" t="s">
        <v>10</v>
      </c>
      <c r="N24" s="124">
        <v>6500</v>
      </c>
    </row>
    <row r="25" spans="1:21" ht="8.25" customHeight="1" thickTop="1" thickBot="1">
      <c r="A25" s="52"/>
      <c r="B25" s="80"/>
      <c r="C25" s="80"/>
      <c r="D25" s="78"/>
      <c r="E25" s="78"/>
      <c r="F25" s="78"/>
      <c r="G25" s="78"/>
      <c r="H25" s="56"/>
    </row>
    <row r="26" spans="1:21" ht="20.25" thickTop="1" thickBot="1">
      <c r="A26" s="52"/>
      <c r="B26" s="253" t="s">
        <v>78</v>
      </c>
      <c r="C26" s="254"/>
      <c r="D26" s="254"/>
      <c r="E26" s="254"/>
      <c r="F26" s="254"/>
      <c r="G26" s="255"/>
      <c r="H26" s="56"/>
    </row>
    <row r="27" spans="1:21" ht="18" thickTop="1" thickBot="1">
      <c r="A27" s="52"/>
      <c r="B27" s="256" t="s">
        <v>79</v>
      </c>
      <c r="C27" s="257"/>
      <c r="D27" s="109" t="s">
        <v>80</v>
      </c>
      <c r="E27" s="109" t="s">
        <v>81</v>
      </c>
      <c r="F27" s="263" t="s">
        <v>70</v>
      </c>
      <c r="G27" s="264"/>
      <c r="H27" s="56"/>
    </row>
    <row r="28" spans="1:21" ht="18" thickTop="1" thickBot="1">
      <c r="A28" s="52"/>
      <c r="B28" s="249" t="s">
        <v>84</v>
      </c>
      <c r="C28" s="250"/>
      <c r="D28" s="107">
        <v>317671</v>
      </c>
      <c r="E28" s="107" t="s">
        <v>83</v>
      </c>
      <c r="F28" s="251">
        <f>N16*G7</f>
        <v>176</v>
      </c>
      <c r="G28" s="252"/>
      <c r="H28" s="56"/>
    </row>
    <row r="29" spans="1:21" ht="17.25" thickBot="1">
      <c r="A29" s="52"/>
      <c r="B29" s="249" t="s">
        <v>85</v>
      </c>
      <c r="C29" s="250"/>
      <c r="D29" s="107">
        <v>317672</v>
      </c>
      <c r="E29" s="107" t="s">
        <v>83</v>
      </c>
      <c r="F29" s="251">
        <f>P16*G7</f>
        <v>0</v>
      </c>
      <c r="G29" s="252"/>
      <c r="H29" s="56"/>
      <c r="S29" s="124">
        <f>E18*F18</f>
        <v>9040</v>
      </c>
      <c r="T29" s="124">
        <f>F20*E21</f>
        <v>3792</v>
      </c>
    </row>
    <row r="30" spans="1:21" ht="17.25" thickBot="1">
      <c r="A30" s="52"/>
      <c r="B30" s="249" t="s">
        <v>162</v>
      </c>
      <c r="C30" s="250"/>
      <c r="D30" s="107">
        <v>317676</v>
      </c>
      <c r="E30" s="107" t="s">
        <v>83</v>
      </c>
      <c r="F30" s="260">
        <f>N12*G7</f>
        <v>176</v>
      </c>
      <c r="G30" s="267"/>
      <c r="H30" s="56"/>
      <c r="S30" s="124">
        <f>E19*F19</f>
        <v>8848</v>
      </c>
      <c r="T30" s="124">
        <f>F22*E22</f>
        <v>4800</v>
      </c>
    </row>
    <row r="31" spans="1:21" s="46" customFormat="1" ht="17.25" thickBot="1">
      <c r="A31" s="52"/>
      <c r="B31" s="249" t="s">
        <v>180</v>
      </c>
      <c r="C31" s="250"/>
      <c r="D31" s="107">
        <v>301086</v>
      </c>
      <c r="E31" s="107" t="s">
        <v>83</v>
      </c>
      <c r="F31" s="270">
        <f>(MAX((8*(ROUNDUP((E18/300),0)+1)*G7),4))+(MAX((4*(ROUNDUP((E19/300),0)+1)*G7),4))</f>
        <v>120</v>
      </c>
      <c r="G31" s="271"/>
      <c r="H31" s="56"/>
      <c r="I31" s="124"/>
      <c r="J31" s="124"/>
      <c r="K31" s="124"/>
      <c r="L31" s="124"/>
      <c r="M31" s="124"/>
      <c r="N31" s="124"/>
      <c r="O31" s="124"/>
      <c r="P31" s="124"/>
      <c r="Q31" s="124"/>
      <c r="R31" s="124"/>
      <c r="S31" s="124"/>
      <c r="T31" s="124"/>
      <c r="U31" s="124"/>
    </row>
    <row r="32" spans="1:21" ht="17.25" thickBot="1">
      <c r="A32" s="52"/>
      <c r="B32" s="249" t="s">
        <v>87</v>
      </c>
      <c r="C32" s="250"/>
      <c r="D32" s="103" t="s">
        <v>159</v>
      </c>
      <c r="E32" s="107" t="s">
        <v>83</v>
      </c>
      <c r="F32" s="260">
        <f>MAX((4*(ROUNDUP((E19/300),0)+1)*G7),4)</f>
        <v>40</v>
      </c>
      <c r="G32" s="267"/>
      <c r="H32" s="56"/>
    </row>
    <row r="33" spans="1:21" ht="17.25" thickBot="1">
      <c r="A33" s="52"/>
      <c r="B33" s="268" t="s">
        <v>115</v>
      </c>
      <c r="C33" s="269"/>
      <c r="D33" s="107">
        <v>301620</v>
      </c>
      <c r="E33" s="107" t="s">
        <v>83</v>
      </c>
      <c r="F33" s="270">
        <f>6*G7</f>
        <v>12</v>
      </c>
      <c r="G33" s="271"/>
      <c r="H33" s="56"/>
      <c r="S33" s="124">
        <f>SUM(S29:S32)</f>
        <v>17888</v>
      </c>
      <c r="T33" s="124">
        <f>SUM(T29:T32)</f>
        <v>8592</v>
      </c>
    </row>
    <row r="34" spans="1:21" ht="17.25" thickBot="1">
      <c r="A34" s="52"/>
      <c r="B34" s="268" t="s">
        <v>179</v>
      </c>
      <c r="C34" s="269"/>
      <c r="D34" s="107">
        <v>301086</v>
      </c>
      <c r="E34" s="107" t="s">
        <v>83</v>
      </c>
      <c r="F34" s="270">
        <f>3*F33</f>
        <v>36</v>
      </c>
      <c r="G34" s="271"/>
      <c r="H34" s="56"/>
      <c r="S34" s="124">
        <f>S33/6500</f>
        <v>2.7519999999999998</v>
      </c>
      <c r="T34" s="124">
        <f>T33/6500</f>
        <v>1.3218461538461539</v>
      </c>
    </row>
    <row r="35" spans="1:21" ht="17.25" thickBot="1">
      <c r="A35" s="52"/>
      <c r="B35" s="272" t="s">
        <v>23</v>
      </c>
      <c r="C35" s="273"/>
      <c r="D35" s="112">
        <v>301405</v>
      </c>
      <c r="E35" s="112" t="s">
        <v>83</v>
      </c>
      <c r="F35" s="274">
        <f>F20</f>
        <v>3</v>
      </c>
      <c r="G35" s="275"/>
      <c r="H35" s="56"/>
    </row>
    <row r="36" spans="1:21" ht="8.25" customHeight="1" thickTop="1" thickBot="1">
      <c r="A36" s="52"/>
      <c r="B36" s="85"/>
      <c r="C36" s="85"/>
      <c r="D36" s="78"/>
      <c r="E36" s="78"/>
      <c r="F36" s="86"/>
      <c r="G36" s="86"/>
      <c r="H36" s="56"/>
    </row>
    <row r="37" spans="1:21" ht="20.25" thickTop="1" thickBot="1">
      <c r="A37" s="52"/>
      <c r="B37" s="253" t="s">
        <v>130</v>
      </c>
      <c r="C37" s="254"/>
      <c r="D37" s="254"/>
      <c r="E37" s="254"/>
      <c r="F37" s="254"/>
      <c r="G37" s="255"/>
      <c r="H37" s="56"/>
    </row>
    <row r="38" spans="1:21" ht="18" thickTop="1" thickBot="1">
      <c r="A38" s="52"/>
      <c r="B38" s="256" t="s">
        <v>125</v>
      </c>
      <c r="C38" s="257"/>
      <c r="D38" s="109" t="s">
        <v>126</v>
      </c>
      <c r="E38" s="109" t="s">
        <v>127</v>
      </c>
      <c r="F38" s="109" t="s">
        <v>70</v>
      </c>
      <c r="G38" s="110" t="s">
        <v>71</v>
      </c>
      <c r="H38" s="56"/>
    </row>
    <row r="39" spans="1:21" ht="18" thickTop="1" thickBot="1">
      <c r="A39" s="52"/>
      <c r="B39" s="258" t="s">
        <v>124</v>
      </c>
      <c r="C39" s="259"/>
      <c r="D39" s="111" t="s">
        <v>11</v>
      </c>
      <c r="E39" s="111">
        <f>E9-174</f>
        <v>1032</v>
      </c>
      <c r="F39" s="81">
        <f>2*G7</f>
        <v>4</v>
      </c>
      <c r="G39" s="116">
        <f>ROUNDUP(F39/(ROUNDDOWN(VLOOKUP(D39,M19:N24,2,FALSE)/(E39+3),0)),0)</f>
        <v>1</v>
      </c>
      <c r="H39" s="56"/>
    </row>
    <row r="40" spans="1:21" ht="17.25" thickBot="1">
      <c r="A40" s="52"/>
      <c r="B40" s="249" t="s">
        <v>129</v>
      </c>
      <c r="C40" s="250"/>
      <c r="D40" s="107">
        <v>308945</v>
      </c>
      <c r="E40" s="107" t="s">
        <v>83</v>
      </c>
      <c r="F40" s="251">
        <f>4*G7</f>
        <v>8</v>
      </c>
      <c r="G40" s="252"/>
      <c r="H40" s="56"/>
    </row>
    <row r="41" spans="1:21" ht="17.25" thickBot="1">
      <c r="A41" s="52"/>
      <c r="B41" s="249" t="s">
        <v>128</v>
      </c>
      <c r="C41" s="250"/>
      <c r="D41" s="107">
        <v>301086</v>
      </c>
      <c r="E41" s="107" t="s">
        <v>83</v>
      </c>
      <c r="F41" s="251">
        <f>4*G7</f>
        <v>8</v>
      </c>
      <c r="G41" s="252"/>
      <c r="H41" s="56"/>
    </row>
    <row r="42" spans="1:21" s="46" customFormat="1" ht="17.25" thickBot="1">
      <c r="A42" s="52"/>
      <c r="B42" s="268" t="s">
        <v>132</v>
      </c>
      <c r="C42" s="269"/>
      <c r="D42" s="113">
        <v>317077</v>
      </c>
      <c r="E42" s="113" t="s">
        <v>131</v>
      </c>
      <c r="F42" s="276">
        <f>C12*G7*2*20</f>
        <v>1840</v>
      </c>
      <c r="G42" s="277"/>
      <c r="H42" s="56"/>
      <c r="I42" s="124"/>
      <c r="J42" s="124"/>
      <c r="K42" s="124"/>
      <c r="L42" s="124"/>
      <c r="M42" s="124"/>
      <c r="N42" s="124"/>
      <c r="O42" s="124"/>
      <c r="P42" s="124"/>
      <c r="Q42" s="124"/>
      <c r="R42" s="124"/>
      <c r="S42" s="124"/>
      <c r="T42" s="124"/>
      <c r="U42" s="124"/>
    </row>
    <row r="43" spans="1:21" ht="17.25" thickBot="1">
      <c r="A43" s="52"/>
      <c r="B43" s="272" t="s">
        <v>86</v>
      </c>
      <c r="C43" s="273"/>
      <c r="D43" s="112">
        <v>309327</v>
      </c>
      <c r="E43" s="112" t="s">
        <v>83</v>
      </c>
      <c r="F43" s="274">
        <f>4*G7</f>
        <v>8</v>
      </c>
      <c r="G43" s="275"/>
      <c r="H43" s="56"/>
    </row>
    <row r="44" spans="1:21" ht="17.25" thickTop="1">
      <c r="A44" s="33"/>
      <c r="B44" s="36"/>
      <c r="C44" s="36"/>
      <c r="D44" s="10"/>
      <c r="E44" s="10"/>
      <c r="F44" s="10"/>
      <c r="G44" s="10"/>
      <c r="H44" s="34"/>
    </row>
    <row r="45" spans="1:21" ht="16.5">
      <c r="A45" s="33"/>
      <c r="B45" s="36"/>
      <c r="C45" s="36"/>
      <c r="D45" s="10"/>
      <c r="E45" s="10"/>
      <c r="F45" s="10"/>
      <c r="G45" s="11"/>
      <c r="H45" s="34"/>
    </row>
    <row r="46" spans="1:21" ht="16.5">
      <c r="A46" s="33"/>
      <c r="B46" s="36"/>
      <c r="C46" s="36"/>
      <c r="D46" s="10"/>
      <c r="E46" s="10"/>
      <c r="F46" s="10"/>
      <c r="G46" s="120"/>
      <c r="H46" s="37"/>
    </row>
    <row r="47" spans="1:21" ht="15" customHeight="1">
      <c r="A47" s="38"/>
      <c r="B47" s="39"/>
      <c r="C47" s="39"/>
      <c r="D47" s="35"/>
      <c r="E47" s="35"/>
      <c r="F47" s="35"/>
      <c r="G47" s="11"/>
      <c r="H47" s="37"/>
    </row>
    <row r="48" spans="1:21" ht="15" customHeight="1">
      <c r="A48" s="38"/>
      <c r="B48" s="39"/>
      <c r="C48" s="39"/>
      <c r="D48" s="35"/>
      <c r="E48" s="35"/>
      <c r="F48" s="35"/>
      <c r="G48" s="11"/>
      <c r="H48" s="37"/>
    </row>
    <row r="49" spans="1:8" ht="15" customHeight="1">
      <c r="A49" s="38"/>
      <c r="B49" s="39"/>
      <c r="C49" s="39"/>
      <c r="D49" s="35"/>
      <c r="E49" s="35"/>
      <c r="F49" s="35"/>
      <c r="G49" s="11"/>
      <c r="H49" s="37"/>
    </row>
    <row r="50" spans="1:8" ht="15" customHeight="1">
      <c r="A50" s="38"/>
      <c r="B50" s="39"/>
      <c r="C50" s="39"/>
      <c r="D50" s="35"/>
      <c r="E50" s="35"/>
      <c r="F50" s="35"/>
      <c r="G50" s="11"/>
      <c r="H50" s="37"/>
    </row>
    <row r="51" spans="1:8" ht="15" customHeight="1">
      <c r="A51" s="38"/>
      <c r="B51" s="39"/>
      <c r="C51" s="39"/>
      <c r="D51" s="35"/>
      <c r="E51" s="35"/>
      <c r="F51" s="35"/>
      <c r="G51" s="11"/>
      <c r="H51" s="37"/>
    </row>
    <row r="52" spans="1:8" ht="15" customHeight="1">
      <c r="A52" s="38"/>
      <c r="B52" s="39"/>
      <c r="C52" s="39"/>
      <c r="D52" s="35"/>
      <c r="E52" s="35"/>
      <c r="F52" s="35"/>
      <c r="G52" s="11"/>
      <c r="H52" s="37"/>
    </row>
    <row r="53" spans="1:8" ht="15" customHeight="1">
      <c r="A53" s="38"/>
      <c r="B53" s="39"/>
      <c r="C53" s="39"/>
      <c r="D53" s="35"/>
      <c r="E53" s="35"/>
      <c r="F53" s="35"/>
      <c r="G53" s="11"/>
      <c r="H53" s="37"/>
    </row>
    <row r="54" spans="1:8" ht="15" customHeight="1">
      <c r="A54" s="38"/>
      <c r="B54" s="39"/>
      <c r="C54" s="39"/>
      <c r="D54" s="35"/>
      <c r="E54" s="35"/>
      <c r="F54" s="35"/>
      <c r="G54" s="11"/>
      <c r="H54" s="37"/>
    </row>
    <row r="55" spans="1:8" ht="15" customHeight="1">
      <c r="A55" s="38"/>
      <c r="B55" s="39"/>
      <c r="C55" s="39"/>
      <c r="D55" s="35"/>
      <c r="E55" s="35"/>
      <c r="F55" s="35"/>
      <c r="G55" s="11"/>
      <c r="H55" s="37"/>
    </row>
    <row r="56" spans="1:8" ht="15" customHeight="1">
      <c r="A56" s="38"/>
      <c r="B56" s="39"/>
      <c r="C56" s="39"/>
      <c r="D56" s="35"/>
      <c r="E56" s="35"/>
      <c r="F56" s="35"/>
      <c r="G56" s="11"/>
      <c r="H56" s="37"/>
    </row>
    <row r="57" spans="1:8" ht="15" customHeight="1">
      <c r="A57" s="38"/>
      <c r="B57" s="39"/>
      <c r="C57" s="39"/>
      <c r="D57" s="35"/>
      <c r="E57" s="35"/>
      <c r="F57" s="35"/>
      <c r="G57" s="11"/>
      <c r="H57" s="37"/>
    </row>
    <row r="58" spans="1:8" ht="15" customHeight="1">
      <c r="A58" s="38"/>
      <c r="B58" s="39"/>
      <c r="C58" s="39"/>
      <c r="D58" s="35"/>
      <c r="E58" s="35"/>
      <c r="F58" s="35"/>
      <c r="G58" s="11"/>
      <c r="H58" s="37"/>
    </row>
    <row r="59" spans="1:8" ht="15" customHeight="1">
      <c r="A59" s="38"/>
      <c r="B59" s="39"/>
      <c r="C59" s="39"/>
      <c r="D59" s="35"/>
      <c r="E59" s="35"/>
      <c r="F59" s="35"/>
      <c r="G59" s="11"/>
      <c r="H59" s="37"/>
    </row>
    <row r="60" spans="1:8" ht="15" customHeight="1">
      <c r="A60" s="38"/>
      <c r="B60" s="39"/>
      <c r="C60" s="39"/>
      <c r="D60" s="35"/>
      <c r="E60" s="35"/>
      <c r="F60" s="35"/>
      <c r="G60" s="11"/>
      <c r="H60" s="37"/>
    </row>
    <row r="61" spans="1:8" ht="15" customHeight="1">
      <c r="A61" s="38"/>
      <c r="B61" s="39"/>
      <c r="C61" s="39"/>
      <c r="D61" s="35"/>
      <c r="E61" s="35"/>
      <c r="F61" s="35"/>
      <c r="G61" s="11"/>
      <c r="H61" s="37"/>
    </row>
    <row r="62" spans="1:8" ht="15" customHeight="1">
      <c r="A62" s="38"/>
      <c r="B62" s="39"/>
      <c r="C62" s="39"/>
      <c r="D62" s="35"/>
      <c r="E62" s="35"/>
      <c r="F62" s="35"/>
      <c r="G62" s="11"/>
      <c r="H62" s="37"/>
    </row>
    <row r="63" spans="1:8" ht="15" customHeight="1">
      <c r="A63" s="38"/>
      <c r="B63" s="39"/>
      <c r="C63" s="39"/>
      <c r="D63" s="35"/>
      <c r="E63" s="35"/>
      <c r="F63" s="35"/>
      <c r="G63" s="11"/>
      <c r="H63" s="37"/>
    </row>
    <row r="64" spans="1:8">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c r="A68" s="39"/>
      <c r="B68" s="39"/>
      <c r="C68" s="39"/>
      <c r="D68" s="35"/>
      <c r="E68" s="35"/>
      <c r="F68" s="35"/>
      <c r="G68" s="35"/>
      <c r="H68" s="39"/>
    </row>
  </sheetData>
  <sheetProtection password="DE70" sheet="1" objects="1" scenarios="1"/>
  <mergeCells count="50">
    <mergeCell ref="B31:C31"/>
    <mergeCell ref="B28:C28"/>
    <mergeCell ref="F28:G28"/>
    <mergeCell ref="F31:G31"/>
    <mergeCell ref="B64:G66"/>
    <mergeCell ref="B35:C35"/>
    <mergeCell ref="F35:G35"/>
    <mergeCell ref="B32:C32"/>
    <mergeCell ref="F32:G32"/>
    <mergeCell ref="B33:C33"/>
    <mergeCell ref="F33:G33"/>
    <mergeCell ref="B34:C34"/>
    <mergeCell ref="F34:G34"/>
    <mergeCell ref="B37:G37"/>
    <mergeCell ref="B38:C38"/>
    <mergeCell ref="B39:C39"/>
    <mergeCell ref="F43:G43"/>
    <mergeCell ref="B42:C42"/>
    <mergeCell ref="F42:G42"/>
    <mergeCell ref="B40:C40"/>
    <mergeCell ref="F40:G40"/>
    <mergeCell ref="B41:C41"/>
    <mergeCell ref="F41:G41"/>
    <mergeCell ref="B43:C43"/>
    <mergeCell ref="A1:H2"/>
    <mergeCell ref="A3:C3"/>
    <mergeCell ref="D3:H3"/>
    <mergeCell ref="A4:C4"/>
    <mergeCell ref="D4:H4"/>
    <mergeCell ref="A5:H5"/>
    <mergeCell ref="B16:G16"/>
    <mergeCell ref="B17:C17"/>
    <mergeCell ref="B18:C18"/>
    <mergeCell ref="D18:D19"/>
    <mergeCell ref="G18:G19"/>
    <mergeCell ref="B19:C19"/>
    <mergeCell ref="B22:C22"/>
    <mergeCell ref="B29:C29"/>
    <mergeCell ref="F29:G29"/>
    <mergeCell ref="B30:C30"/>
    <mergeCell ref="F30:G30"/>
    <mergeCell ref="B26:G26"/>
    <mergeCell ref="B27:C27"/>
    <mergeCell ref="F27:G27"/>
    <mergeCell ref="B23:C23"/>
    <mergeCell ref="D20:D23"/>
    <mergeCell ref="B20:C20"/>
    <mergeCell ref="F20:F21"/>
    <mergeCell ref="G20:G22"/>
    <mergeCell ref="B21:C21"/>
  </mergeCells>
  <dataValidations count="4">
    <dataValidation type="list" allowBlank="1" showInputMessage="1" showErrorMessage="1" sqref="B12:B13">
      <formula1>$O$7:$O$9</formula1>
    </dataValidation>
    <dataValidation type="list" allowBlank="1" showInputMessage="1" showErrorMessage="1" sqref="D13:F13">
      <formula1>ccc</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 Aug, 17&amp;R&amp;A</oddFooter>
  </headerFooter>
  <drawing r:id="rId2"/>
</worksheet>
</file>

<file path=xl/worksheets/sheet9.xml><?xml version="1.0" encoding="utf-8"?>
<worksheet xmlns="http://schemas.openxmlformats.org/spreadsheetml/2006/main" xmlns:r="http://schemas.openxmlformats.org/officeDocument/2006/relationships">
  <dimension ref="A1:U72"/>
  <sheetViews>
    <sheetView showGridLines="0" showWhiteSpace="0" view="pageLayout" zoomScaleNormal="100" zoomScaleSheetLayoutView="100" workbookViewId="0">
      <selection activeCell="D12" sqref="D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1" width="9.125" style="124"/>
    <col min="22"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121</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90"/>
      <c r="C7" s="91"/>
      <c r="D7" s="54" t="s">
        <v>92</v>
      </c>
      <c r="E7" s="32">
        <v>1185</v>
      </c>
      <c r="F7" s="62" t="s">
        <v>62</v>
      </c>
      <c r="G7" s="63">
        <v>3</v>
      </c>
      <c r="H7" s="56"/>
      <c r="M7" s="124">
        <v>10</v>
      </c>
      <c r="O7" s="124">
        <v>38</v>
      </c>
    </row>
    <row r="8" spans="1:16" ht="18" thickTop="1" thickBot="1">
      <c r="A8" s="57"/>
      <c r="B8" s="92"/>
      <c r="C8" s="72"/>
      <c r="D8" s="60"/>
      <c r="E8" s="61"/>
      <c r="F8" s="62"/>
      <c r="G8" s="63"/>
      <c r="H8" s="56"/>
      <c r="M8" s="124">
        <v>20</v>
      </c>
      <c r="O8" s="124">
        <v>65</v>
      </c>
    </row>
    <row r="9" spans="1:16" ht="18" thickTop="1" thickBot="1">
      <c r="A9" s="52"/>
      <c r="B9" s="53" t="s">
        <v>171</v>
      </c>
      <c r="C9" s="32">
        <v>1200</v>
      </c>
      <c r="D9" s="54" t="s">
        <v>93</v>
      </c>
      <c r="E9" s="64">
        <f>(B12*C12)+((C12-1)*G12)+100</f>
        <v>1185</v>
      </c>
      <c r="F9" s="93"/>
      <c r="G9" s="75"/>
      <c r="H9" s="56"/>
      <c r="O9" s="124">
        <v>100</v>
      </c>
    </row>
    <row r="10" spans="1:16" ht="18" thickTop="1" thickBot="1">
      <c r="A10" s="52"/>
      <c r="B10" s="99" t="s">
        <v>172</v>
      </c>
      <c r="C10" s="66"/>
      <c r="D10" s="119" t="s">
        <v>173</v>
      </c>
      <c r="E10" s="65"/>
      <c r="F10" s="65"/>
      <c r="G10" s="65"/>
      <c r="H10" s="56"/>
    </row>
    <row r="11" spans="1:16" ht="18" thickTop="1" thickBot="1">
      <c r="A11" s="52"/>
      <c r="B11" s="67" t="s">
        <v>55</v>
      </c>
      <c r="C11" s="68" t="s">
        <v>56</v>
      </c>
      <c r="D11" s="69" t="s">
        <v>57</v>
      </c>
      <c r="E11" s="69" t="s">
        <v>58</v>
      </c>
      <c r="F11" s="69" t="s">
        <v>59</v>
      </c>
      <c r="G11" s="70" t="s">
        <v>60</v>
      </c>
      <c r="H11" s="56"/>
    </row>
    <row r="12" spans="1:16" ht="17.25" thickBot="1">
      <c r="A12" s="52"/>
      <c r="B12" s="28">
        <v>65</v>
      </c>
      <c r="C12" s="29">
        <v>13</v>
      </c>
      <c r="D12" s="30">
        <v>20</v>
      </c>
      <c r="E12" s="30"/>
      <c r="F12" s="30"/>
      <c r="G12" s="71">
        <f>D12+E12+F12</f>
        <v>20</v>
      </c>
      <c r="H12" s="56"/>
      <c r="M12" s="124" t="s">
        <v>63</v>
      </c>
      <c r="N12" s="125">
        <f>(C12-1)*2</f>
        <v>24</v>
      </c>
    </row>
    <row r="13" spans="1:16" ht="18" thickTop="1" thickBot="1">
      <c r="A13" s="57"/>
      <c r="B13" s="72"/>
      <c r="C13" s="73"/>
      <c r="D13" s="74"/>
      <c r="E13" s="74"/>
      <c r="F13" s="74"/>
      <c r="G13" s="75"/>
      <c r="H13" s="76"/>
      <c r="M13" s="124" t="s">
        <v>64</v>
      </c>
      <c r="N13" s="124" t="str">
        <f>IF(D12=10,N12,"")</f>
        <v/>
      </c>
      <c r="O13" s="124" t="s">
        <v>65</v>
      </c>
      <c r="P13" s="124">
        <f>IF(D12=20,N12,"")</f>
        <v>24</v>
      </c>
    </row>
    <row r="14" spans="1:16" ht="18" thickTop="1" thickBot="1">
      <c r="A14" s="52"/>
      <c r="B14" s="54" t="s">
        <v>61</v>
      </c>
      <c r="C14" s="77">
        <f>(((E7-100)-B12)/(B12+G12))+1</f>
        <v>13</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0</v>
      </c>
      <c r="O16" s="124" t="s">
        <v>76</v>
      </c>
      <c r="P16" s="124">
        <f>SUM(P13:P15)</f>
        <v>24</v>
      </c>
    </row>
    <row r="17" spans="1:21" ht="18" thickTop="1" thickBot="1">
      <c r="A17" s="52"/>
      <c r="B17" s="256" t="s">
        <v>47</v>
      </c>
      <c r="C17" s="257"/>
      <c r="D17" s="109" t="s">
        <v>69</v>
      </c>
      <c r="E17" s="109" t="s">
        <v>1</v>
      </c>
      <c r="F17" s="109" t="s">
        <v>70</v>
      </c>
      <c r="G17" s="110" t="s">
        <v>71</v>
      </c>
      <c r="H17" s="56"/>
    </row>
    <row r="18" spans="1:21" ht="18" thickTop="1" thickBot="1">
      <c r="A18" s="52"/>
      <c r="B18" s="258" t="s">
        <v>74</v>
      </c>
      <c r="C18" s="259"/>
      <c r="D18" s="111" t="s">
        <v>14</v>
      </c>
      <c r="E18" s="111">
        <f>E9-100</f>
        <v>1085</v>
      </c>
      <c r="F18" s="81">
        <v>2</v>
      </c>
      <c r="G18" s="116">
        <f>ROUNDUP(F18/(ROUNDDOWN(VLOOKUP(D18,M18:N22,2,FALSE)/(E18+3),0)),0)</f>
        <v>1</v>
      </c>
      <c r="H18" s="56"/>
      <c r="M18" s="124" t="s">
        <v>14</v>
      </c>
      <c r="N18" s="124">
        <v>6500</v>
      </c>
    </row>
    <row r="19" spans="1:21" ht="17.25" thickBot="1">
      <c r="A19" s="52"/>
      <c r="B19" s="249" t="s">
        <v>169</v>
      </c>
      <c r="C19" s="250"/>
      <c r="D19" s="279" t="s">
        <v>12</v>
      </c>
      <c r="E19" s="107">
        <f>E9</f>
        <v>1185</v>
      </c>
      <c r="F19" s="107">
        <v>2</v>
      </c>
      <c r="G19" s="261">
        <f>IF(((E19*F19)+(E20*F20)&lt;VLOOKUP(D19,M18:N22,2,FALSE)),ROUNDUP(((F20+F19)/2)/(ROUNDDOWN(VLOOKUP(D19,M18:N22,2,FALSE)/(E19+E20+6),0)),0),ROUNDUP(F20/(ROUNDDOWN(VLOOKUP(D19,M18:N22,2,FALSE)/(E20+3),0)),0)+ROUNDUP(F19/(ROUNDDOWN(VLOOKUP(D19,M18:N22,2,FALSE)/(E19+3),0)),0))</f>
        <v>1</v>
      </c>
      <c r="H19" s="56"/>
      <c r="M19" s="124" t="s">
        <v>12</v>
      </c>
      <c r="N19" s="124">
        <v>6500</v>
      </c>
    </row>
    <row r="20" spans="1:21" ht="17.25" thickBot="1">
      <c r="A20" s="52"/>
      <c r="B20" s="268" t="s">
        <v>89</v>
      </c>
      <c r="C20" s="269"/>
      <c r="D20" s="280"/>
      <c r="E20" s="113">
        <f>C9</f>
        <v>1200</v>
      </c>
      <c r="F20" s="113">
        <v>2</v>
      </c>
      <c r="G20" s="262"/>
      <c r="H20" s="56"/>
      <c r="M20" s="124" t="s">
        <v>15</v>
      </c>
      <c r="N20" s="124">
        <v>6500</v>
      </c>
    </row>
    <row r="21" spans="1:21" ht="17.25" thickBot="1">
      <c r="A21" s="52"/>
      <c r="B21" s="82" t="s">
        <v>77</v>
      </c>
      <c r="C21" s="83" t="str">
        <f>IF(B12=100,"100 x 16 x 1.2mm",IF(B12=65,"65 x 16 x 1.2mm",IF(B12=38,"38 x 16 x 1.6mm","")))</f>
        <v>65 x 16 x 1.2mm</v>
      </c>
      <c r="D21" s="112" t="str">
        <f>IF(B12=100,"EP12022",IF(B12=65,"EQ6823",IF(B12=38,"EP7822","")))</f>
        <v>EQ6823</v>
      </c>
      <c r="E21" s="112">
        <f>C9-112</f>
        <v>1088</v>
      </c>
      <c r="F21" s="117">
        <f>C12</f>
        <v>13</v>
      </c>
      <c r="G21" s="118">
        <f>ROUNDUP(F21/(ROUNDDOWN(VLOOKUP(D21,M19:N22,2,FALSE)/(E21+3),0)),0)</f>
        <v>3</v>
      </c>
      <c r="H21" s="56"/>
      <c r="M21" s="124" t="s">
        <v>11</v>
      </c>
      <c r="N21" s="124">
        <v>6500</v>
      </c>
    </row>
    <row r="22" spans="1:21" ht="18" thickTop="1" thickBot="1">
      <c r="A22" s="52"/>
      <c r="B22" s="80"/>
      <c r="C22" s="80"/>
      <c r="D22" s="78"/>
      <c r="E22" s="78"/>
      <c r="F22" s="78"/>
      <c r="G22" s="78"/>
      <c r="H22" s="56"/>
      <c r="M22" s="124" t="s">
        <v>10</v>
      </c>
      <c r="N22" s="124">
        <v>6500</v>
      </c>
    </row>
    <row r="23" spans="1:21" ht="20.25" thickTop="1" thickBot="1">
      <c r="A23" s="52"/>
      <c r="B23" s="253" t="s">
        <v>78</v>
      </c>
      <c r="C23" s="254"/>
      <c r="D23" s="254"/>
      <c r="E23" s="254"/>
      <c r="F23" s="254"/>
      <c r="G23" s="255"/>
      <c r="H23" s="56"/>
    </row>
    <row r="24" spans="1:21" ht="18" thickTop="1" thickBot="1">
      <c r="A24" s="52"/>
      <c r="B24" s="256" t="s">
        <v>79</v>
      </c>
      <c r="C24" s="257"/>
      <c r="D24" s="109" t="s">
        <v>80</v>
      </c>
      <c r="E24" s="109" t="s">
        <v>81</v>
      </c>
      <c r="F24" s="263" t="s">
        <v>70</v>
      </c>
      <c r="G24" s="264"/>
      <c r="H24" s="56"/>
    </row>
    <row r="25" spans="1:21" ht="18" thickTop="1" thickBot="1">
      <c r="A25" s="52"/>
      <c r="B25" s="249" t="s">
        <v>84</v>
      </c>
      <c r="C25" s="250"/>
      <c r="D25" s="107">
        <v>317671</v>
      </c>
      <c r="E25" s="107" t="s">
        <v>83</v>
      </c>
      <c r="F25" s="251">
        <f>N16</f>
        <v>0</v>
      </c>
      <c r="G25" s="252"/>
      <c r="H25" s="56"/>
    </row>
    <row r="26" spans="1:21" ht="17.25" thickBot="1">
      <c r="A26" s="52"/>
      <c r="B26" s="249" t="s">
        <v>85</v>
      </c>
      <c r="C26" s="250"/>
      <c r="D26" s="107">
        <v>317672</v>
      </c>
      <c r="E26" s="107" t="s">
        <v>83</v>
      </c>
      <c r="F26" s="251">
        <f>P16</f>
        <v>24</v>
      </c>
      <c r="G26" s="252"/>
      <c r="H26" s="56"/>
    </row>
    <row r="27" spans="1:21" ht="17.25" thickBot="1">
      <c r="A27" s="52"/>
      <c r="B27" s="249" t="s">
        <v>162</v>
      </c>
      <c r="C27" s="250"/>
      <c r="D27" s="107">
        <v>317676</v>
      </c>
      <c r="E27" s="107" t="s">
        <v>83</v>
      </c>
      <c r="F27" s="260">
        <f>N12</f>
        <v>24</v>
      </c>
      <c r="G27" s="267"/>
      <c r="H27" s="56"/>
      <c r="T27" s="124">
        <f>E19*F19</f>
        <v>2370</v>
      </c>
    </row>
    <row r="28" spans="1:21" ht="17.25" thickBot="1">
      <c r="A28" s="52"/>
      <c r="B28" s="249" t="s">
        <v>177</v>
      </c>
      <c r="C28" s="250"/>
      <c r="D28" s="103">
        <v>301086</v>
      </c>
      <c r="E28" s="107" t="s">
        <v>83</v>
      </c>
      <c r="F28" s="260">
        <f>MAX(2*(ROUNDUP((E18/300),0)+1),4)</f>
        <v>10</v>
      </c>
      <c r="G28" s="267"/>
      <c r="H28" s="56"/>
      <c r="T28" s="124">
        <f>E20*F20</f>
        <v>2400</v>
      </c>
    </row>
    <row r="29" spans="1:21" ht="17.25" thickBot="1">
      <c r="A29" s="52"/>
      <c r="B29" s="250" t="s">
        <v>91</v>
      </c>
      <c r="C29" s="250"/>
      <c r="D29" s="107">
        <v>726324</v>
      </c>
      <c r="E29" s="107" t="s">
        <v>83</v>
      </c>
      <c r="F29" s="260">
        <v>4</v>
      </c>
      <c r="G29" s="260"/>
      <c r="H29" s="56"/>
    </row>
    <row r="30" spans="1:21" s="46" customFormat="1" ht="17.25" thickBot="1">
      <c r="A30" s="52"/>
      <c r="B30" s="293" t="s">
        <v>178</v>
      </c>
      <c r="C30" s="293"/>
      <c r="D30" s="107">
        <v>301086</v>
      </c>
      <c r="E30" s="107" t="s">
        <v>83</v>
      </c>
      <c r="F30" s="270">
        <v>16</v>
      </c>
      <c r="G30" s="294"/>
      <c r="H30" s="56"/>
      <c r="I30" s="124"/>
      <c r="J30" s="124"/>
      <c r="K30" s="124"/>
      <c r="L30" s="124"/>
      <c r="M30" s="124"/>
      <c r="N30" s="124"/>
      <c r="O30" s="124"/>
      <c r="P30" s="124"/>
      <c r="Q30" s="124"/>
      <c r="R30" s="124"/>
      <c r="S30" s="124"/>
      <c r="T30" s="124"/>
      <c r="U30" s="124"/>
    </row>
    <row r="31" spans="1:21" ht="17.25" thickBot="1">
      <c r="A31" s="52"/>
      <c r="B31" s="85"/>
      <c r="C31" s="85"/>
      <c r="D31" s="78"/>
      <c r="E31" s="78"/>
      <c r="F31" s="86"/>
      <c r="G31" s="86"/>
      <c r="H31" s="56"/>
      <c r="T31" s="124">
        <f>SUM(T27:T29)</f>
        <v>4770</v>
      </c>
    </row>
    <row r="32" spans="1:21" ht="20.25" thickTop="1" thickBot="1">
      <c r="A32" s="52"/>
      <c r="B32" s="253" t="s">
        <v>130</v>
      </c>
      <c r="C32" s="254"/>
      <c r="D32" s="254"/>
      <c r="E32" s="254"/>
      <c r="F32" s="254"/>
      <c r="G32" s="255"/>
      <c r="H32" s="56"/>
      <c r="T32" s="124">
        <f>T31/6500</f>
        <v>0.73384615384615381</v>
      </c>
    </row>
    <row r="33" spans="1:21" ht="18" thickTop="1" thickBot="1">
      <c r="A33" s="52"/>
      <c r="B33" s="256" t="s">
        <v>125</v>
      </c>
      <c r="C33" s="257"/>
      <c r="D33" s="109" t="s">
        <v>126</v>
      </c>
      <c r="E33" s="109" t="s">
        <v>127</v>
      </c>
      <c r="F33" s="109" t="s">
        <v>70</v>
      </c>
      <c r="G33" s="110" t="s">
        <v>71</v>
      </c>
      <c r="H33" s="56"/>
    </row>
    <row r="34" spans="1:21" ht="18" thickTop="1" thickBot="1">
      <c r="A34" s="52"/>
      <c r="B34" s="258" t="s">
        <v>124</v>
      </c>
      <c r="C34" s="259"/>
      <c r="D34" s="111" t="s">
        <v>11</v>
      </c>
      <c r="E34" s="111">
        <f>E9-104</f>
        <v>1081</v>
      </c>
      <c r="F34" s="81">
        <v>1</v>
      </c>
      <c r="G34" s="116">
        <f>ROUNDUP(F34/(ROUNDDOWN(VLOOKUP(D34,M18:N22,2,FALSE)/(E34+3),0)),0)</f>
        <v>1</v>
      </c>
      <c r="H34" s="56"/>
    </row>
    <row r="35" spans="1:21" ht="17.25" thickBot="1">
      <c r="A35" s="52"/>
      <c r="B35" s="249" t="s">
        <v>129</v>
      </c>
      <c r="C35" s="250"/>
      <c r="D35" s="107">
        <v>308945</v>
      </c>
      <c r="E35" s="107" t="s">
        <v>83</v>
      </c>
      <c r="F35" s="251">
        <v>2</v>
      </c>
      <c r="G35" s="252"/>
      <c r="H35" s="56"/>
      <c r="J35" s="124">
        <f>1200*4</f>
        <v>4800</v>
      </c>
    </row>
    <row r="36" spans="1:21" ht="17.25" thickBot="1">
      <c r="A36" s="52"/>
      <c r="B36" s="249" t="s">
        <v>128</v>
      </c>
      <c r="C36" s="250"/>
      <c r="D36" s="107">
        <v>301086</v>
      </c>
      <c r="E36" s="107" t="s">
        <v>83</v>
      </c>
      <c r="F36" s="251">
        <v>2</v>
      </c>
      <c r="G36" s="252"/>
      <c r="H36" s="56"/>
    </row>
    <row r="37" spans="1:21" s="46" customFormat="1" ht="17.25" thickBot="1">
      <c r="A37" s="52"/>
      <c r="B37" s="268" t="s">
        <v>132</v>
      </c>
      <c r="C37" s="269"/>
      <c r="D37" s="113">
        <v>317077</v>
      </c>
      <c r="E37" s="113" t="s">
        <v>131</v>
      </c>
      <c r="F37" s="276">
        <f>C12*2*20</f>
        <v>520</v>
      </c>
      <c r="G37" s="277"/>
      <c r="H37" s="56"/>
      <c r="I37" s="124"/>
      <c r="J37" s="124"/>
      <c r="K37" s="124"/>
      <c r="L37" s="124"/>
      <c r="M37" s="124"/>
      <c r="N37" s="124"/>
      <c r="O37" s="124"/>
      <c r="P37" s="124"/>
      <c r="Q37" s="124"/>
      <c r="R37" s="124"/>
      <c r="S37" s="124"/>
      <c r="T37" s="124"/>
      <c r="U37" s="124"/>
    </row>
    <row r="38" spans="1:21" ht="17.25" thickBot="1">
      <c r="A38" s="52"/>
      <c r="B38" s="272" t="s">
        <v>86</v>
      </c>
      <c r="C38" s="273"/>
      <c r="D38" s="112">
        <v>309327</v>
      </c>
      <c r="E38" s="112" t="s">
        <v>83</v>
      </c>
      <c r="F38" s="274">
        <v>2</v>
      </c>
      <c r="G38" s="275"/>
      <c r="H38" s="56"/>
    </row>
    <row r="39" spans="1:21" ht="17.25" thickTop="1">
      <c r="A39" s="33"/>
      <c r="B39" s="36"/>
      <c r="C39" s="36"/>
      <c r="D39" s="10"/>
      <c r="E39" s="10"/>
      <c r="F39" s="10"/>
      <c r="G39" s="10"/>
      <c r="H39" s="34"/>
    </row>
    <row r="40" spans="1:21" ht="16.5">
      <c r="A40" s="33"/>
      <c r="B40" s="36"/>
      <c r="C40" s="36"/>
      <c r="D40" s="10"/>
      <c r="E40" s="10"/>
      <c r="F40" s="10"/>
      <c r="G40" s="11"/>
      <c r="H40" s="34"/>
    </row>
    <row r="41" spans="1:21" ht="16.5">
      <c r="A41" s="33"/>
      <c r="B41" s="36"/>
      <c r="C41" s="36"/>
      <c r="D41" s="10"/>
      <c r="E41" s="10"/>
      <c r="F41" s="10"/>
      <c r="G41" s="11"/>
      <c r="H41" s="37"/>
    </row>
    <row r="42" spans="1:21" ht="15" customHeight="1">
      <c r="A42" s="38"/>
      <c r="B42" s="39"/>
      <c r="C42" s="39"/>
      <c r="D42" s="35"/>
      <c r="E42" s="35"/>
      <c r="F42" s="35"/>
      <c r="G42" s="11"/>
      <c r="H42" s="37"/>
    </row>
    <row r="43" spans="1:21" ht="15" customHeight="1">
      <c r="A43" s="38"/>
      <c r="B43" s="39"/>
      <c r="C43" s="39"/>
      <c r="D43" s="35"/>
      <c r="E43" s="35"/>
      <c r="F43" s="35"/>
      <c r="G43" s="11"/>
      <c r="H43" s="37"/>
    </row>
    <row r="44" spans="1:21" ht="15" customHeight="1">
      <c r="A44" s="38"/>
      <c r="B44" s="39"/>
      <c r="C44" s="39"/>
      <c r="D44" s="35"/>
      <c r="E44" s="35"/>
      <c r="F44" s="35"/>
      <c r="G44" s="11"/>
      <c r="H44" s="37"/>
    </row>
    <row r="45" spans="1:21" ht="15" customHeight="1">
      <c r="A45" s="38"/>
      <c r="B45" s="39"/>
      <c r="C45" s="39"/>
      <c r="D45" s="35"/>
      <c r="E45" s="35"/>
      <c r="F45" s="35"/>
      <c r="G45" s="11"/>
      <c r="H45" s="37"/>
    </row>
    <row r="46" spans="1:21" ht="15" customHeight="1">
      <c r="A46" s="38"/>
      <c r="B46" s="39"/>
      <c r="C46" s="39"/>
      <c r="D46" s="35"/>
      <c r="E46" s="35"/>
      <c r="F46" s="35"/>
      <c r="G46" s="11"/>
      <c r="H46" s="37"/>
    </row>
    <row r="47" spans="1:21" ht="15" customHeight="1">
      <c r="A47" s="38"/>
      <c r="B47" s="39"/>
      <c r="C47" s="39"/>
      <c r="D47" s="35"/>
      <c r="E47" s="35"/>
      <c r="F47" s="35"/>
      <c r="G47" s="11"/>
      <c r="H47" s="37"/>
    </row>
    <row r="48" spans="1:21" ht="15" customHeight="1">
      <c r="A48" s="38"/>
      <c r="B48" s="39"/>
      <c r="C48" s="39"/>
      <c r="D48" s="35"/>
      <c r="E48" s="35"/>
      <c r="F48" s="35"/>
      <c r="G48" s="11"/>
      <c r="H48" s="37"/>
    </row>
    <row r="49" spans="1:21" ht="15" customHeight="1">
      <c r="A49" s="38"/>
      <c r="B49" s="39"/>
      <c r="C49" s="39"/>
      <c r="D49" s="35"/>
      <c r="E49" s="35"/>
      <c r="F49" s="35"/>
      <c r="G49" s="11"/>
      <c r="H49" s="37"/>
    </row>
    <row r="50" spans="1:21" ht="15" customHeight="1">
      <c r="A50" s="38"/>
      <c r="B50" s="39"/>
      <c r="C50" s="39"/>
      <c r="D50" s="35"/>
      <c r="E50" s="35"/>
      <c r="F50" s="35"/>
      <c r="G50" s="11"/>
      <c r="H50" s="37"/>
    </row>
    <row r="51" spans="1:21" ht="15" customHeight="1">
      <c r="A51" s="38"/>
      <c r="B51" s="39"/>
      <c r="C51" s="39"/>
      <c r="D51" s="35"/>
      <c r="E51" s="35"/>
      <c r="F51" s="35"/>
      <c r="G51" s="11"/>
      <c r="H51" s="37"/>
    </row>
    <row r="52" spans="1:21" ht="15" customHeight="1">
      <c r="A52" s="38"/>
      <c r="B52" s="39"/>
      <c r="C52" s="39"/>
      <c r="D52" s="35"/>
      <c r="E52" s="35"/>
      <c r="F52" s="35"/>
      <c r="G52" s="11"/>
      <c r="H52" s="37"/>
    </row>
    <row r="53" spans="1:21" ht="15" customHeight="1">
      <c r="A53" s="38"/>
      <c r="B53" s="39"/>
      <c r="C53" s="39"/>
      <c r="D53" s="35"/>
      <c r="E53" s="35"/>
      <c r="F53" s="35"/>
      <c r="G53" s="11"/>
      <c r="H53" s="37"/>
    </row>
    <row r="54" spans="1:21" ht="15" customHeight="1">
      <c r="A54" s="38"/>
      <c r="B54" s="39"/>
      <c r="C54" s="39"/>
      <c r="D54" s="35"/>
      <c r="E54" s="35"/>
      <c r="F54" s="35"/>
      <c r="G54" s="11"/>
      <c r="H54" s="37"/>
    </row>
    <row r="55" spans="1:21" ht="15" customHeight="1">
      <c r="A55" s="38"/>
      <c r="B55" s="39"/>
      <c r="C55" s="39"/>
      <c r="D55" s="35"/>
      <c r="E55" s="35"/>
      <c r="F55" s="35"/>
      <c r="G55" s="11"/>
      <c r="H55" s="37"/>
    </row>
    <row r="56" spans="1:21" ht="15" customHeight="1">
      <c r="A56" s="38"/>
      <c r="B56" s="39"/>
      <c r="C56" s="39"/>
      <c r="D56" s="35"/>
      <c r="E56" s="35"/>
      <c r="F56" s="35"/>
      <c r="G56" s="11"/>
      <c r="H56" s="37"/>
    </row>
    <row r="57" spans="1:21" ht="15" customHeight="1">
      <c r="A57" s="38"/>
      <c r="B57" s="39"/>
      <c r="C57" s="39"/>
      <c r="D57" s="35"/>
      <c r="E57" s="35"/>
      <c r="F57" s="35"/>
      <c r="G57" s="11"/>
      <c r="H57" s="37"/>
    </row>
    <row r="58" spans="1:21" ht="15" customHeight="1">
      <c r="A58" s="38"/>
      <c r="B58" s="39"/>
      <c r="C58" s="39"/>
      <c r="D58" s="35"/>
      <c r="E58" s="35"/>
      <c r="F58" s="35"/>
      <c r="G58" s="11"/>
      <c r="H58" s="37"/>
    </row>
    <row r="59" spans="1:21" ht="15" customHeight="1">
      <c r="A59" s="38"/>
      <c r="B59" s="39"/>
      <c r="C59" s="39"/>
      <c r="D59" s="35"/>
      <c r="E59" s="35"/>
      <c r="F59" s="35"/>
      <c r="G59" s="11"/>
      <c r="H59" s="37"/>
    </row>
    <row r="60" spans="1:21" s="46" customFormat="1">
      <c r="A60" s="38"/>
      <c r="B60" s="39"/>
      <c r="C60" s="39"/>
      <c r="D60" s="35"/>
      <c r="E60" s="35"/>
      <c r="F60" s="35"/>
      <c r="G60" s="35"/>
      <c r="H60" s="37"/>
      <c r="I60" s="124"/>
      <c r="J60" s="124"/>
      <c r="K60" s="124"/>
      <c r="L60" s="124"/>
      <c r="M60" s="124"/>
      <c r="N60" s="124"/>
      <c r="O60" s="124"/>
      <c r="P60" s="124"/>
      <c r="Q60" s="124"/>
      <c r="R60" s="124"/>
      <c r="S60" s="124"/>
      <c r="T60" s="124"/>
      <c r="U60" s="124"/>
    </row>
    <row r="61" spans="1:21" s="46" customFormat="1">
      <c r="A61" s="38"/>
      <c r="B61" s="39"/>
      <c r="C61" s="39"/>
      <c r="D61" s="35"/>
      <c r="E61" s="35"/>
      <c r="F61" s="35"/>
      <c r="G61" s="35"/>
      <c r="H61" s="37"/>
      <c r="I61" s="124"/>
      <c r="J61" s="124"/>
      <c r="K61" s="124"/>
      <c r="L61" s="124"/>
      <c r="M61" s="124"/>
      <c r="N61" s="124"/>
      <c r="O61" s="124"/>
      <c r="P61" s="124"/>
      <c r="Q61" s="124"/>
      <c r="R61" s="124"/>
      <c r="S61" s="124"/>
      <c r="T61" s="124"/>
      <c r="U61" s="124"/>
    </row>
    <row r="62" spans="1:21" s="46" customFormat="1">
      <c r="A62" s="38"/>
      <c r="B62" s="39"/>
      <c r="C62" s="39"/>
      <c r="D62" s="35"/>
      <c r="E62" s="35"/>
      <c r="F62" s="35"/>
      <c r="G62" s="35"/>
      <c r="H62" s="37"/>
      <c r="I62" s="124"/>
      <c r="J62" s="124"/>
      <c r="K62" s="124"/>
      <c r="L62" s="124"/>
      <c r="M62" s="124"/>
      <c r="N62" s="124"/>
      <c r="O62" s="124"/>
      <c r="P62" s="124"/>
      <c r="Q62" s="124"/>
      <c r="R62" s="124"/>
      <c r="S62" s="124"/>
      <c r="T62" s="124"/>
      <c r="U62" s="124"/>
    </row>
    <row r="63" spans="1:21" s="46" customFormat="1">
      <c r="A63" s="38"/>
      <c r="B63" s="39"/>
      <c r="C63" s="39"/>
      <c r="D63" s="35"/>
      <c r="E63" s="35"/>
      <c r="F63" s="35"/>
      <c r="G63" s="35"/>
      <c r="H63" s="37"/>
      <c r="I63" s="124"/>
      <c r="J63" s="124"/>
      <c r="K63" s="124"/>
      <c r="L63" s="124"/>
      <c r="M63" s="124"/>
      <c r="N63" s="124"/>
      <c r="O63" s="124"/>
      <c r="P63" s="124"/>
      <c r="Q63" s="124"/>
      <c r="R63" s="124"/>
      <c r="S63" s="124"/>
      <c r="T63" s="124"/>
      <c r="U63" s="124"/>
    </row>
    <row r="64" spans="1:21">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c r="A68" s="39"/>
      <c r="B68" s="39"/>
      <c r="C68" s="39"/>
      <c r="D68" s="35"/>
      <c r="E68" s="35"/>
      <c r="F68" s="35"/>
      <c r="G68" s="35"/>
      <c r="H68" s="39"/>
    </row>
    <row r="69" spans="1:8">
      <c r="A69" s="39"/>
      <c r="B69" s="39"/>
      <c r="C69" s="39"/>
      <c r="D69" s="35"/>
      <c r="E69" s="35"/>
      <c r="F69" s="35"/>
      <c r="G69" s="35"/>
      <c r="H69" s="39"/>
    </row>
    <row r="70" spans="1:8">
      <c r="A70" s="39"/>
      <c r="B70" s="39"/>
      <c r="C70" s="39"/>
      <c r="D70" s="35"/>
      <c r="E70" s="35"/>
      <c r="F70" s="35"/>
      <c r="G70" s="35"/>
      <c r="H70" s="39"/>
    </row>
    <row r="71" spans="1:8">
      <c r="A71" s="39"/>
      <c r="B71" s="39"/>
      <c r="C71" s="39"/>
      <c r="D71" s="35"/>
      <c r="E71" s="35"/>
      <c r="F71" s="35"/>
      <c r="G71" s="35"/>
      <c r="H71" s="39"/>
    </row>
    <row r="72" spans="1:8">
      <c r="A72" s="39"/>
      <c r="B72" s="39"/>
      <c r="C72" s="39"/>
      <c r="D72" s="35"/>
      <c r="E72" s="35"/>
      <c r="F72" s="35"/>
      <c r="G72" s="35"/>
      <c r="H72" s="39"/>
    </row>
  </sheetData>
  <sheetProtection password="DE70" sheet="1" objects="1" scenarios="1"/>
  <mergeCells count="40">
    <mergeCell ref="B64:G66"/>
    <mergeCell ref="B27:C27"/>
    <mergeCell ref="F27:G27"/>
    <mergeCell ref="B28:C28"/>
    <mergeCell ref="F28:G28"/>
    <mergeCell ref="B29:C29"/>
    <mergeCell ref="F29:G29"/>
    <mergeCell ref="B32:G32"/>
    <mergeCell ref="B33:C33"/>
    <mergeCell ref="B34:C34"/>
    <mergeCell ref="B35:C35"/>
    <mergeCell ref="F35:G35"/>
    <mergeCell ref="B36:C36"/>
    <mergeCell ref="F36:G36"/>
    <mergeCell ref="B38:C38"/>
    <mergeCell ref="F38:G38"/>
    <mergeCell ref="B23:G23"/>
    <mergeCell ref="B24:C24"/>
    <mergeCell ref="F24:G24"/>
    <mergeCell ref="B25:C25"/>
    <mergeCell ref="F25:G25"/>
    <mergeCell ref="B37:C37"/>
    <mergeCell ref="F37:G37"/>
    <mergeCell ref="B26:C26"/>
    <mergeCell ref="F26:G26"/>
    <mergeCell ref="B30:C30"/>
    <mergeCell ref="F30:G30"/>
    <mergeCell ref="A5:H5"/>
    <mergeCell ref="A1:H2"/>
    <mergeCell ref="A3:C3"/>
    <mergeCell ref="D3:H3"/>
    <mergeCell ref="A4:C4"/>
    <mergeCell ref="D4:H4"/>
    <mergeCell ref="B16:G16"/>
    <mergeCell ref="B17:C17"/>
    <mergeCell ref="B18:C18"/>
    <mergeCell ref="D19:D20"/>
    <mergeCell ref="G19:G20"/>
    <mergeCell ref="B19:C19"/>
    <mergeCell ref="B20:C20"/>
  </mergeCells>
  <dataValidations count="4">
    <dataValidation type="list" allowBlank="1" showInputMessage="1" showErrorMessage="1" sqref="D13:F13">
      <formula1>SpH</formula1>
    </dataValidation>
    <dataValidation type="list" allowBlank="1" showInputMessage="1" showErrorMessage="1" sqref="B12:B13">
      <formula1>$O$7:$O$9</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 Aug, 17&amp;R&amp;A</oddFooter>
  </headerFooter>
  <drawing r:id="rId2"/>
</worksheet>
</file>

<file path=xl/worksheets/sheet10.xml><?xml version="1.0" encoding="utf-8"?>
<worksheet xmlns="http://schemas.openxmlformats.org/spreadsheetml/2006/main" xmlns:r="http://schemas.openxmlformats.org/officeDocument/2006/relationships">
  <dimension ref="A1:V71"/>
  <sheetViews>
    <sheetView showGridLines="0" showWhiteSpace="0" view="pageLayout" zoomScaleNormal="100" zoomScaleSheetLayoutView="100" workbookViewId="0">
      <selection activeCell="D12" sqref="D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2" width="9.125" style="124"/>
    <col min="23"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122</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90"/>
      <c r="C7" s="91"/>
      <c r="D7" s="54" t="s">
        <v>92</v>
      </c>
      <c r="E7" s="32">
        <v>1194</v>
      </c>
      <c r="F7" s="62" t="s">
        <v>62</v>
      </c>
      <c r="G7" s="63">
        <v>3</v>
      </c>
      <c r="H7" s="56"/>
      <c r="M7" s="124">
        <v>10</v>
      </c>
      <c r="O7" s="124">
        <v>38</v>
      </c>
    </row>
    <row r="8" spans="1:16" ht="18" thickTop="1" thickBot="1">
      <c r="A8" s="57"/>
      <c r="B8" s="92"/>
      <c r="C8" s="72"/>
      <c r="D8" s="60"/>
      <c r="E8" s="61"/>
      <c r="F8" s="62"/>
      <c r="G8" s="63"/>
      <c r="H8" s="56"/>
      <c r="M8" s="124">
        <v>20</v>
      </c>
      <c r="O8" s="124">
        <v>65</v>
      </c>
    </row>
    <row r="9" spans="1:16" ht="18" thickTop="1" thickBot="1">
      <c r="A9" s="52"/>
      <c r="B9" s="53" t="s">
        <v>171</v>
      </c>
      <c r="C9" s="32">
        <v>1200</v>
      </c>
      <c r="D9" s="54" t="s">
        <v>93</v>
      </c>
      <c r="E9" s="64">
        <f>(B12*C12)+((C12-1)*G12)+112</f>
        <v>1194</v>
      </c>
      <c r="F9" s="93"/>
      <c r="G9" s="75"/>
      <c r="H9" s="56"/>
      <c r="O9" s="124">
        <v>100</v>
      </c>
    </row>
    <row r="10" spans="1:16" ht="18" thickTop="1" thickBot="1">
      <c r="A10" s="52"/>
      <c r="B10" s="99" t="s">
        <v>172</v>
      </c>
      <c r="C10" s="66"/>
      <c r="D10" s="99" t="s">
        <v>173</v>
      </c>
      <c r="E10" s="65"/>
      <c r="F10" s="65"/>
      <c r="G10" s="65"/>
      <c r="H10" s="56"/>
    </row>
    <row r="11" spans="1:16" ht="18" thickTop="1" thickBot="1">
      <c r="A11" s="52"/>
      <c r="B11" s="67" t="s">
        <v>55</v>
      </c>
      <c r="C11" s="68" t="s">
        <v>56</v>
      </c>
      <c r="D11" s="69" t="s">
        <v>57</v>
      </c>
      <c r="E11" s="69" t="s">
        <v>58</v>
      </c>
      <c r="F11" s="69" t="s">
        <v>59</v>
      </c>
      <c r="G11" s="70" t="s">
        <v>60</v>
      </c>
      <c r="H11" s="56"/>
    </row>
    <row r="12" spans="1:16" ht="17.25" thickBot="1">
      <c r="A12" s="52"/>
      <c r="B12" s="28">
        <v>38</v>
      </c>
      <c r="C12" s="29">
        <v>19</v>
      </c>
      <c r="D12" s="30">
        <v>20</v>
      </c>
      <c r="E12" s="30"/>
      <c r="F12" s="30"/>
      <c r="G12" s="71">
        <f>D12+E12+F12</f>
        <v>20</v>
      </c>
      <c r="H12" s="56"/>
      <c r="M12" s="124" t="s">
        <v>63</v>
      </c>
      <c r="N12" s="125">
        <f>(C12-1)*2</f>
        <v>36</v>
      </c>
    </row>
    <row r="13" spans="1:16" ht="18" thickTop="1" thickBot="1">
      <c r="A13" s="57"/>
      <c r="B13" s="72"/>
      <c r="C13" s="73"/>
      <c r="D13" s="74"/>
      <c r="E13" s="74"/>
      <c r="F13" s="74"/>
      <c r="G13" s="75"/>
      <c r="H13" s="76"/>
      <c r="M13" s="124" t="s">
        <v>64</v>
      </c>
      <c r="N13" s="124" t="str">
        <f>IF(D12=10,N12,"")</f>
        <v/>
      </c>
      <c r="O13" s="124" t="s">
        <v>65</v>
      </c>
      <c r="P13" s="124">
        <f>IF(D12=20,N12,"")</f>
        <v>36</v>
      </c>
    </row>
    <row r="14" spans="1:16" ht="18" thickTop="1" thickBot="1">
      <c r="A14" s="52"/>
      <c r="B14" s="53" t="s">
        <v>61</v>
      </c>
      <c r="C14" s="77">
        <f>((E7-112-B12)/(B12+G12))+1</f>
        <v>19</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0</v>
      </c>
      <c r="O16" s="124" t="s">
        <v>76</v>
      </c>
      <c r="P16" s="124">
        <f>SUM(P13:P15)</f>
        <v>36</v>
      </c>
    </row>
    <row r="17" spans="1:22" ht="18" thickTop="1" thickBot="1">
      <c r="A17" s="52"/>
      <c r="B17" s="256" t="s">
        <v>47</v>
      </c>
      <c r="C17" s="257"/>
      <c r="D17" s="109" t="s">
        <v>69</v>
      </c>
      <c r="E17" s="109" t="s">
        <v>1</v>
      </c>
      <c r="F17" s="109" t="s">
        <v>70</v>
      </c>
      <c r="G17" s="110" t="s">
        <v>71</v>
      </c>
      <c r="H17" s="56"/>
    </row>
    <row r="18" spans="1:22" ht="18" thickTop="1" thickBot="1">
      <c r="A18" s="52"/>
      <c r="B18" s="258" t="s">
        <v>117</v>
      </c>
      <c r="C18" s="259"/>
      <c r="D18" s="265" t="s">
        <v>14</v>
      </c>
      <c r="E18" s="111">
        <f>E9-100</f>
        <v>1094</v>
      </c>
      <c r="F18" s="81">
        <v>2</v>
      </c>
      <c r="G18" s="291">
        <f>IF(((E18*F18)+(E19*F19)&lt;VLOOKUP(D18,M18:N22,2,FALSE)),ROUNDUP(((F19+F18)/2)/(ROUNDDOWN(VLOOKUP(D18,M18:N22,2,FALSE)/(E18+E19+6),0)),0),ROUNDUP(F19/(ROUNDDOWN(VLOOKUP(D18,M18:N22,2,FALSE)/(E19+3),0)),0)+ROUNDUP(F18/(ROUNDDOWN(VLOOKUP(D18,M18:N22,2,FALSE)/(E18+3),0)),0))</f>
        <v>1</v>
      </c>
      <c r="H18" s="56"/>
      <c r="M18" s="124" t="s">
        <v>14</v>
      </c>
      <c r="N18" s="124">
        <v>6500</v>
      </c>
    </row>
    <row r="19" spans="1:22" ht="17.25" thickBot="1">
      <c r="A19" s="52"/>
      <c r="B19" s="249" t="s">
        <v>118</v>
      </c>
      <c r="C19" s="250"/>
      <c r="D19" s="251"/>
      <c r="E19" s="107">
        <f>C9-170</f>
        <v>1030</v>
      </c>
      <c r="F19" s="108">
        <v>2</v>
      </c>
      <c r="G19" s="292"/>
      <c r="H19" s="56"/>
      <c r="M19" s="124" t="s">
        <v>12</v>
      </c>
      <c r="N19" s="124">
        <v>6500</v>
      </c>
    </row>
    <row r="20" spans="1:22" ht="17.25" thickBot="1">
      <c r="A20" s="52"/>
      <c r="B20" s="284" t="s">
        <v>169</v>
      </c>
      <c r="C20" s="285"/>
      <c r="D20" s="279" t="s">
        <v>12</v>
      </c>
      <c r="E20" s="114">
        <f>E9</f>
        <v>1194</v>
      </c>
      <c r="F20" s="114">
        <v>2</v>
      </c>
      <c r="G20" s="295">
        <f>IF(((E20*F20)+(E21*F21)&lt;VLOOKUP(D20,M18:N22,2,FALSE)),ROUNDUP(((F21+F20)/2)/(ROUNDDOWN(VLOOKUP(D20,M18:N22,2,FALSE)/(E20+E21+6),0)),0),ROUNDUP(F21/(ROUNDDOWN(VLOOKUP(D20,M18:N22,2,FALSE)/(E21+3),0)),0)+ROUNDUP(F20/(ROUNDDOWN(VLOOKUP(D20,M18:N22,2,FALSE)/(E20+3),0)),0))</f>
        <v>1</v>
      </c>
      <c r="H20" s="56"/>
      <c r="M20" s="124" t="s">
        <v>15</v>
      </c>
      <c r="N20" s="124">
        <v>6500</v>
      </c>
    </row>
    <row r="21" spans="1:22" ht="17.25" thickBot="1">
      <c r="A21" s="52"/>
      <c r="B21" s="268" t="s">
        <v>89</v>
      </c>
      <c r="C21" s="269"/>
      <c r="D21" s="280"/>
      <c r="E21" s="113">
        <f>C9</f>
        <v>1200</v>
      </c>
      <c r="F21" s="113">
        <v>2</v>
      </c>
      <c r="G21" s="296"/>
      <c r="H21" s="56"/>
      <c r="M21" s="124" t="s">
        <v>11</v>
      </c>
      <c r="N21" s="124">
        <v>6500</v>
      </c>
    </row>
    <row r="22" spans="1:22" ht="17.25" thickBot="1">
      <c r="A22" s="52"/>
      <c r="B22" s="82" t="s">
        <v>77</v>
      </c>
      <c r="C22" s="83" t="str">
        <f>IF(B12=100,"100 x 16 x 1.2mm",IF(B12=65,"65 x 16 x 1.2mm",IF(B12=38,"38 x 16 x 1.6mm","")))</f>
        <v>38 x 16 x 1.6mm</v>
      </c>
      <c r="D22" s="112" t="str">
        <f>IF(B12=100,"EP12022",IF(B12=65,"EQ6823",IF(B12=38,"EP7822","")))</f>
        <v>EP7822</v>
      </c>
      <c r="E22" s="112">
        <f>C9-112</f>
        <v>1088</v>
      </c>
      <c r="F22" s="117">
        <f>C12</f>
        <v>19</v>
      </c>
      <c r="G22" s="118">
        <f>ROUNDUP(F22/(ROUNDDOWN(VLOOKUP(D22,M19:N22,2,FALSE)/(E22+3),0)),0)</f>
        <v>4</v>
      </c>
      <c r="H22" s="56"/>
      <c r="M22" s="124" t="s">
        <v>10</v>
      </c>
      <c r="N22" s="124">
        <v>6500</v>
      </c>
    </row>
    <row r="23" spans="1:22" ht="18" thickTop="1" thickBot="1">
      <c r="A23" s="52"/>
      <c r="B23" s="80"/>
      <c r="C23" s="80"/>
      <c r="D23" s="78"/>
      <c r="E23" s="78"/>
      <c r="F23" s="78"/>
      <c r="G23" s="78"/>
      <c r="H23" s="56"/>
    </row>
    <row r="24" spans="1:22" ht="20.25" thickTop="1" thickBot="1">
      <c r="A24" s="52"/>
      <c r="B24" s="253" t="s">
        <v>78</v>
      </c>
      <c r="C24" s="254"/>
      <c r="D24" s="254"/>
      <c r="E24" s="254"/>
      <c r="F24" s="254"/>
      <c r="G24" s="255"/>
      <c r="H24" s="56"/>
    </row>
    <row r="25" spans="1:22" ht="18" thickTop="1" thickBot="1">
      <c r="A25" s="52"/>
      <c r="B25" s="256" t="s">
        <v>79</v>
      </c>
      <c r="C25" s="257"/>
      <c r="D25" s="109" t="s">
        <v>80</v>
      </c>
      <c r="E25" s="109" t="s">
        <v>81</v>
      </c>
      <c r="F25" s="263" t="s">
        <v>70</v>
      </c>
      <c r="G25" s="264"/>
      <c r="H25" s="56"/>
    </row>
    <row r="26" spans="1:22" ht="18" thickTop="1" thickBot="1">
      <c r="A26" s="52"/>
      <c r="B26" s="249" t="s">
        <v>84</v>
      </c>
      <c r="C26" s="250"/>
      <c r="D26" s="107">
        <v>317671</v>
      </c>
      <c r="E26" s="107" t="s">
        <v>83</v>
      </c>
      <c r="F26" s="251">
        <f>N16</f>
        <v>0</v>
      </c>
      <c r="G26" s="252"/>
      <c r="H26" s="56"/>
    </row>
    <row r="27" spans="1:22" ht="17.25" thickBot="1">
      <c r="A27" s="52"/>
      <c r="B27" s="249" t="s">
        <v>85</v>
      </c>
      <c r="C27" s="250"/>
      <c r="D27" s="107">
        <v>317672</v>
      </c>
      <c r="E27" s="107" t="s">
        <v>83</v>
      </c>
      <c r="F27" s="251">
        <f>P16</f>
        <v>36</v>
      </c>
      <c r="G27" s="252"/>
      <c r="H27" s="56"/>
      <c r="T27" s="124">
        <f>E18*F18</f>
        <v>2188</v>
      </c>
      <c r="U27" s="124">
        <f>F20*E20</f>
        <v>2388</v>
      </c>
    </row>
    <row r="28" spans="1:22" ht="17.25" thickBot="1">
      <c r="A28" s="52"/>
      <c r="B28" s="249" t="s">
        <v>162</v>
      </c>
      <c r="C28" s="250"/>
      <c r="D28" s="107">
        <v>317676</v>
      </c>
      <c r="E28" s="107" t="s">
        <v>83</v>
      </c>
      <c r="F28" s="260">
        <f>N12</f>
        <v>36</v>
      </c>
      <c r="G28" s="267"/>
      <c r="H28" s="56"/>
      <c r="T28" s="124">
        <f>E19*F19</f>
        <v>2060</v>
      </c>
      <c r="U28" s="124">
        <f>F21*E21</f>
        <v>2400</v>
      </c>
    </row>
    <row r="29" spans="1:22" ht="17.25" thickBot="1">
      <c r="A29" s="52"/>
      <c r="B29" s="249" t="s">
        <v>170</v>
      </c>
      <c r="C29" s="250"/>
      <c r="D29" s="107">
        <v>301086</v>
      </c>
      <c r="E29" s="107" t="s">
        <v>83</v>
      </c>
      <c r="F29" s="260">
        <f>(MAX(2*(ROUNDUP((E18/300),0)+1),4)+(MAX(2*(ROUNDUP((E19/300),0)+1),4)))</f>
        <v>20</v>
      </c>
      <c r="G29" s="267"/>
      <c r="H29" s="56"/>
    </row>
    <row r="30" spans="1:22" ht="17.25" thickBot="1">
      <c r="A30" s="52"/>
      <c r="B30" s="249" t="s">
        <v>91</v>
      </c>
      <c r="C30" s="250"/>
      <c r="D30" s="107">
        <v>726324</v>
      </c>
      <c r="E30" s="107" t="s">
        <v>83</v>
      </c>
      <c r="F30" s="260">
        <v>4</v>
      </c>
      <c r="G30" s="267"/>
      <c r="H30" s="56"/>
      <c r="T30" s="124">
        <f>SUM(T27:T29)</f>
        <v>4248</v>
      </c>
      <c r="U30" s="124">
        <f>SUM(U27:U29)</f>
        <v>4788</v>
      </c>
    </row>
    <row r="31" spans="1:22" s="46" customFormat="1" ht="17.25" thickBot="1">
      <c r="A31" s="52"/>
      <c r="B31" s="272" t="s">
        <v>178</v>
      </c>
      <c r="C31" s="273"/>
      <c r="D31" s="112">
        <v>301086</v>
      </c>
      <c r="E31" s="112" t="s">
        <v>83</v>
      </c>
      <c r="F31" s="297">
        <v>16</v>
      </c>
      <c r="G31" s="298"/>
      <c r="H31" s="56"/>
      <c r="I31" s="124"/>
      <c r="J31" s="124"/>
      <c r="K31" s="124"/>
      <c r="L31" s="124"/>
      <c r="M31" s="124"/>
      <c r="N31" s="124"/>
      <c r="O31" s="124"/>
      <c r="P31" s="124"/>
      <c r="Q31" s="124"/>
      <c r="R31" s="124"/>
      <c r="S31" s="124"/>
      <c r="T31" s="124"/>
      <c r="U31" s="124"/>
      <c r="V31" s="124"/>
    </row>
    <row r="32" spans="1:22" ht="18" thickTop="1" thickBot="1">
      <c r="A32" s="52"/>
      <c r="B32" s="85"/>
      <c r="C32" s="85"/>
      <c r="D32" s="78"/>
      <c r="E32" s="78"/>
      <c r="F32" s="86"/>
      <c r="G32" s="86"/>
      <c r="H32" s="56"/>
      <c r="T32" s="124">
        <f>T30/6500</f>
        <v>0.65353846153846151</v>
      </c>
      <c r="U32" s="124">
        <f>U30/6500</f>
        <v>0.73661538461538456</v>
      </c>
    </row>
    <row r="33" spans="1:22" ht="20.25" thickTop="1" thickBot="1">
      <c r="A33" s="52"/>
      <c r="B33" s="253" t="s">
        <v>130</v>
      </c>
      <c r="C33" s="254"/>
      <c r="D33" s="254"/>
      <c r="E33" s="254"/>
      <c r="F33" s="254"/>
      <c r="G33" s="255"/>
      <c r="H33" s="56"/>
    </row>
    <row r="34" spans="1:22" ht="18" thickTop="1" thickBot="1">
      <c r="A34" s="52"/>
      <c r="B34" s="256" t="s">
        <v>125</v>
      </c>
      <c r="C34" s="257"/>
      <c r="D34" s="109" t="s">
        <v>126</v>
      </c>
      <c r="E34" s="109" t="s">
        <v>127</v>
      </c>
      <c r="F34" s="109" t="s">
        <v>70</v>
      </c>
      <c r="G34" s="110" t="s">
        <v>71</v>
      </c>
      <c r="H34" s="56"/>
    </row>
    <row r="35" spans="1:22" ht="18" thickTop="1" thickBot="1">
      <c r="A35" s="52"/>
      <c r="B35" s="258" t="s">
        <v>124</v>
      </c>
      <c r="C35" s="259"/>
      <c r="D35" s="111" t="s">
        <v>11</v>
      </c>
      <c r="E35" s="111">
        <f>E9-174</f>
        <v>1020</v>
      </c>
      <c r="F35" s="81">
        <v>1</v>
      </c>
      <c r="G35" s="116">
        <f>ROUNDUP(F35/(ROUNDDOWN(VLOOKUP(D35,M18:N22,2,FALSE)/(E35+3),0)),0)</f>
        <v>1</v>
      </c>
      <c r="H35" s="56"/>
    </row>
    <row r="36" spans="1:22" ht="17.25" thickBot="1">
      <c r="A36" s="52"/>
      <c r="B36" s="249" t="s">
        <v>129</v>
      </c>
      <c r="C36" s="250"/>
      <c r="D36" s="107">
        <v>308945</v>
      </c>
      <c r="E36" s="107" t="s">
        <v>83</v>
      </c>
      <c r="F36" s="251">
        <v>2</v>
      </c>
      <c r="G36" s="252"/>
      <c r="H36" s="56"/>
    </row>
    <row r="37" spans="1:22" ht="17.25" thickBot="1">
      <c r="A37" s="52"/>
      <c r="B37" s="249" t="s">
        <v>128</v>
      </c>
      <c r="C37" s="250"/>
      <c r="D37" s="107">
        <v>301086</v>
      </c>
      <c r="E37" s="107" t="s">
        <v>83</v>
      </c>
      <c r="F37" s="251">
        <v>2</v>
      </c>
      <c r="G37" s="252"/>
      <c r="H37" s="56"/>
    </row>
    <row r="38" spans="1:22" s="46" customFormat="1" ht="17.25" thickBot="1">
      <c r="A38" s="52"/>
      <c r="B38" s="268" t="s">
        <v>132</v>
      </c>
      <c r="C38" s="269"/>
      <c r="D38" s="113">
        <v>317077</v>
      </c>
      <c r="E38" s="113" t="s">
        <v>131</v>
      </c>
      <c r="F38" s="276">
        <f>C12*2*20</f>
        <v>760</v>
      </c>
      <c r="G38" s="277"/>
      <c r="H38" s="56"/>
      <c r="I38" s="124"/>
      <c r="J38" s="124"/>
      <c r="K38" s="124"/>
      <c r="L38" s="124"/>
      <c r="M38" s="124"/>
      <c r="N38" s="124"/>
      <c r="O38" s="124"/>
      <c r="P38" s="124"/>
      <c r="Q38" s="124"/>
      <c r="R38" s="124"/>
      <c r="S38" s="124"/>
      <c r="T38" s="124"/>
      <c r="U38" s="124"/>
      <c r="V38" s="124"/>
    </row>
    <row r="39" spans="1:22" ht="17.25" thickBot="1">
      <c r="A39" s="52"/>
      <c r="B39" s="272" t="s">
        <v>86</v>
      </c>
      <c r="C39" s="273"/>
      <c r="D39" s="112">
        <v>309327</v>
      </c>
      <c r="E39" s="112" t="s">
        <v>83</v>
      </c>
      <c r="F39" s="274">
        <v>2</v>
      </c>
      <c r="G39" s="275"/>
      <c r="H39" s="56"/>
    </row>
    <row r="40" spans="1:22" ht="17.25" thickTop="1">
      <c r="A40" s="33"/>
      <c r="B40" s="36"/>
      <c r="C40" s="36"/>
      <c r="D40" s="10"/>
      <c r="E40" s="10"/>
      <c r="F40" s="10"/>
      <c r="G40" s="10"/>
      <c r="H40" s="34"/>
    </row>
    <row r="41" spans="1:22" ht="16.5">
      <c r="A41" s="33"/>
      <c r="B41" s="36"/>
      <c r="C41" s="36"/>
      <c r="D41" s="10"/>
      <c r="E41" s="10"/>
      <c r="F41" s="10"/>
      <c r="G41" s="11"/>
      <c r="H41" s="34"/>
    </row>
    <row r="42" spans="1:22" ht="16.5">
      <c r="A42" s="33"/>
      <c r="B42" s="36"/>
      <c r="C42" s="36"/>
      <c r="D42" s="10"/>
      <c r="E42" s="10"/>
      <c r="F42" s="10"/>
      <c r="G42" s="11"/>
      <c r="H42" s="37"/>
    </row>
    <row r="43" spans="1:22" ht="15" customHeight="1">
      <c r="A43" s="38"/>
      <c r="B43" s="39"/>
      <c r="C43" s="39"/>
      <c r="D43" s="35"/>
      <c r="E43" s="35"/>
      <c r="F43" s="35"/>
      <c r="G43" s="11"/>
      <c r="H43" s="37"/>
    </row>
    <row r="44" spans="1:22" ht="15" customHeight="1">
      <c r="A44" s="38"/>
      <c r="B44" s="39"/>
      <c r="C44" s="39"/>
      <c r="D44" s="35"/>
      <c r="E44" s="35"/>
      <c r="F44" s="35"/>
      <c r="G44" s="11"/>
      <c r="H44" s="37"/>
    </row>
    <row r="45" spans="1:22" ht="15" customHeight="1">
      <c r="A45" s="38"/>
      <c r="B45" s="39"/>
      <c r="C45" s="39"/>
      <c r="D45" s="35"/>
      <c r="E45" s="35"/>
      <c r="F45" s="35"/>
      <c r="G45" s="11"/>
      <c r="H45" s="37"/>
    </row>
    <row r="46" spans="1:22" ht="15" customHeight="1">
      <c r="A46" s="38"/>
      <c r="B46" s="39"/>
      <c r="C46" s="39"/>
      <c r="D46" s="35"/>
      <c r="E46" s="35"/>
      <c r="F46" s="35"/>
      <c r="G46" s="11"/>
      <c r="H46" s="37"/>
    </row>
    <row r="47" spans="1:22" ht="15" customHeight="1">
      <c r="A47" s="38"/>
      <c r="B47" s="39"/>
      <c r="C47" s="39"/>
      <c r="D47" s="35"/>
      <c r="E47" s="35"/>
      <c r="F47" s="35"/>
      <c r="G47" s="11"/>
      <c r="H47" s="37"/>
    </row>
    <row r="48" spans="1:22" ht="15" customHeight="1">
      <c r="A48" s="38"/>
      <c r="B48" s="39"/>
      <c r="C48" s="39"/>
      <c r="D48" s="35"/>
      <c r="E48" s="35"/>
      <c r="F48" s="35"/>
      <c r="G48" s="11"/>
      <c r="H48" s="37"/>
    </row>
    <row r="49" spans="1:22" ht="15" customHeight="1">
      <c r="A49" s="38"/>
      <c r="B49" s="39"/>
      <c r="C49" s="39"/>
      <c r="D49" s="35"/>
      <c r="E49" s="35"/>
      <c r="F49" s="35"/>
      <c r="G49" s="11"/>
      <c r="H49" s="37"/>
    </row>
    <row r="50" spans="1:22" ht="15" customHeight="1">
      <c r="A50" s="38"/>
      <c r="B50" s="39"/>
      <c r="C50" s="39"/>
      <c r="D50" s="35"/>
      <c r="E50" s="35"/>
      <c r="F50" s="35"/>
      <c r="G50" s="11"/>
      <c r="H50" s="37"/>
    </row>
    <row r="51" spans="1:22" ht="15" customHeight="1">
      <c r="A51" s="38"/>
      <c r="B51" s="39"/>
      <c r="C51" s="39"/>
      <c r="D51" s="35"/>
      <c r="E51" s="35"/>
      <c r="F51" s="35"/>
      <c r="G51" s="11"/>
      <c r="H51" s="37"/>
    </row>
    <row r="52" spans="1:22" ht="15" customHeight="1">
      <c r="A52" s="38"/>
      <c r="B52" s="39"/>
      <c r="C52" s="39"/>
      <c r="D52" s="35"/>
      <c r="E52" s="35"/>
      <c r="F52" s="35"/>
      <c r="G52" s="11"/>
      <c r="H52" s="37"/>
    </row>
    <row r="53" spans="1:22" ht="15" customHeight="1">
      <c r="A53" s="38"/>
      <c r="B53" s="39"/>
      <c r="C53" s="39"/>
      <c r="D53" s="35"/>
      <c r="E53" s="35"/>
      <c r="F53" s="35"/>
      <c r="G53" s="11"/>
      <c r="H53" s="37"/>
    </row>
    <row r="54" spans="1:22" ht="15" customHeight="1">
      <c r="A54" s="38"/>
      <c r="B54" s="39"/>
      <c r="C54" s="39"/>
      <c r="D54" s="35"/>
      <c r="E54" s="35"/>
      <c r="F54" s="35"/>
      <c r="G54" s="11"/>
      <c r="H54" s="37"/>
    </row>
    <row r="55" spans="1:22" ht="15" customHeight="1">
      <c r="A55" s="38"/>
      <c r="B55" s="39"/>
      <c r="C55" s="39"/>
      <c r="D55" s="35"/>
      <c r="E55" s="35"/>
      <c r="F55" s="35"/>
      <c r="G55" s="11"/>
      <c r="H55" s="37"/>
    </row>
    <row r="56" spans="1:22" s="46" customFormat="1" ht="15" customHeight="1">
      <c r="A56" s="38"/>
      <c r="B56" s="39"/>
      <c r="C56" s="39"/>
      <c r="D56" s="35"/>
      <c r="E56" s="35"/>
      <c r="F56" s="35"/>
      <c r="G56" s="11"/>
      <c r="H56" s="37"/>
      <c r="I56" s="124"/>
      <c r="J56" s="124"/>
      <c r="K56" s="124"/>
      <c r="L56" s="124"/>
      <c r="M56" s="124"/>
      <c r="N56" s="124"/>
      <c r="O56" s="124"/>
      <c r="P56" s="124"/>
      <c r="Q56" s="124"/>
      <c r="R56" s="124"/>
      <c r="S56" s="124"/>
      <c r="T56" s="124"/>
      <c r="U56" s="124"/>
      <c r="V56" s="124"/>
    </row>
    <row r="57" spans="1:22" s="46" customFormat="1" ht="15" customHeight="1">
      <c r="A57" s="38"/>
      <c r="B57" s="39"/>
      <c r="C57" s="39"/>
      <c r="D57" s="35"/>
      <c r="E57" s="35"/>
      <c r="F57" s="35"/>
      <c r="G57" s="11"/>
      <c r="H57" s="37"/>
      <c r="I57" s="124"/>
      <c r="J57" s="124"/>
      <c r="K57" s="124"/>
      <c r="L57" s="124"/>
      <c r="M57" s="124"/>
      <c r="N57" s="124"/>
      <c r="O57" s="124"/>
      <c r="P57" s="124"/>
      <c r="Q57" s="124"/>
      <c r="R57" s="124"/>
      <c r="S57" s="124"/>
      <c r="T57" s="124"/>
      <c r="U57" s="124"/>
      <c r="V57" s="124"/>
    </row>
    <row r="58" spans="1:22" s="46" customFormat="1" ht="15" customHeight="1">
      <c r="A58" s="38"/>
      <c r="B58" s="39"/>
      <c r="C58" s="39"/>
      <c r="D58" s="35"/>
      <c r="E58" s="35"/>
      <c r="F58" s="35"/>
      <c r="G58" s="11"/>
      <c r="H58" s="37"/>
      <c r="I58" s="124"/>
      <c r="J58" s="124"/>
      <c r="K58" s="124"/>
      <c r="L58" s="124"/>
      <c r="M58" s="124"/>
      <c r="N58" s="124"/>
      <c r="O58" s="124"/>
      <c r="P58" s="124"/>
      <c r="Q58" s="124"/>
      <c r="R58" s="124"/>
      <c r="S58" s="124"/>
      <c r="T58" s="124"/>
      <c r="U58" s="124"/>
      <c r="V58" s="124"/>
    </row>
    <row r="59" spans="1:22" s="46" customFormat="1" ht="15" customHeight="1">
      <c r="A59" s="38"/>
      <c r="B59" s="39"/>
      <c r="C59" s="39"/>
      <c r="D59" s="35"/>
      <c r="E59" s="35"/>
      <c r="F59" s="35"/>
      <c r="G59" s="11"/>
      <c r="H59" s="37"/>
      <c r="I59" s="124"/>
      <c r="J59" s="124"/>
      <c r="K59" s="124"/>
      <c r="L59" s="124"/>
      <c r="M59" s="124"/>
      <c r="N59" s="124"/>
      <c r="O59" s="124"/>
      <c r="P59" s="124"/>
      <c r="Q59" s="124"/>
      <c r="R59" s="124"/>
      <c r="S59" s="124"/>
      <c r="T59" s="124"/>
      <c r="U59" s="124"/>
      <c r="V59" s="124"/>
    </row>
    <row r="60" spans="1:22" ht="15" customHeight="1">
      <c r="A60" s="38"/>
      <c r="B60" s="39"/>
      <c r="C60" s="39"/>
      <c r="D60" s="35"/>
      <c r="E60" s="35"/>
      <c r="F60" s="35"/>
      <c r="G60" s="11"/>
      <c r="H60" s="37"/>
    </row>
    <row r="61" spans="1:22">
      <c r="A61" s="38"/>
      <c r="B61" s="39"/>
      <c r="C61" s="39"/>
      <c r="D61" s="35"/>
      <c r="E61" s="35"/>
      <c r="F61" s="35"/>
      <c r="G61" s="35"/>
      <c r="H61" s="37"/>
    </row>
    <row r="62" spans="1:22">
      <c r="A62" s="38"/>
      <c r="B62" s="39"/>
      <c r="C62" s="39"/>
      <c r="D62" s="35"/>
      <c r="E62" s="35"/>
      <c r="F62" s="35"/>
      <c r="G62" s="35"/>
      <c r="H62" s="37"/>
    </row>
    <row r="63" spans="1:22">
      <c r="A63" s="38"/>
      <c r="B63" s="39"/>
      <c r="C63" s="39"/>
      <c r="D63" s="35"/>
      <c r="E63" s="35"/>
      <c r="F63" s="35"/>
      <c r="G63" s="35"/>
      <c r="H63" s="37"/>
    </row>
    <row r="64" spans="1:22">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c r="A68" s="39"/>
      <c r="B68" s="39"/>
      <c r="C68" s="39"/>
      <c r="D68" s="35"/>
      <c r="E68" s="35"/>
      <c r="F68" s="35"/>
      <c r="G68" s="35"/>
      <c r="H68" s="39"/>
    </row>
    <row r="69" spans="1:8">
      <c r="A69" s="39"/>
      <c r="B69" s="39"/>
      <c r="C69" s="39"/>
      <c r="D69" s="35"/>
      <c r="E69" s="35"/>
      <c r="F69" s="35"/>
      <c r="G69" s="35"/>
      <c r="H69" s="39"/>
    </row>
    <row r="70" spans="1:8">
      <c r="A70" s="39"/>
      <c r="B70" s="39"/>
      <c r="C70" s="39"/>
      <c r="D70" s="35"/>
      <c r="E70" s="35"/>
      <c r="F70" s="35"/>
      <c r="G70" s="35"/>
      <c r="H70" s="39"/>
    </row>
    <row r="71" spans="1:8">
      <c r="A71" s="39"/>
      <c r="B71" s="39"/>
      <c r="C71" s="39"/>
      <c r="D71" s="35"/>
      <c r="E71" s="35"/>
      <c r="F71" s="35"/>
      <c r="G71" s="35"/>
      <c r="H71" s="39"/>
    </row>
  </sheetData>
  <sheetProtection password="DE70" sheet="1" objects="1" scenarios="1"/>
  <mergeCells count="43">
    <mergeCell ref="B31:C31"/>
    <mergeCell ref="F31:G31"/>
    <mergeCell ref="B64:G66"/>
    <mergeCell ref="B30:C30"/>
    <mergeCell ref="F30:G30"/>
    <mergeCell ref="B33:G33"/>
    <mergeCell ref="B34:C34"/>
    <mergeCell ref="B35:C35"/>
    <mergeCell ref="B36:C36"/>
    <mergeCell ref="F36:G36"/>
    <mergeCell ref="B37:C37"/>
    <mergeCell ref="F37:G37"/>
    <mergeCell ref="B39:C39"/>
    <mergeCell ref="F39:G39"/>
    <mergeCell ref="B38:C38"/>
    <mergeCell ref="F38:G38"/>
    <mergeCell ref="B28:C28"/>
    <mergeCell ref="F28:G28"/>
    <mergeCell ref="B29:C29"/>
    <mergeCell ref="F29:G29"/>
    <mergeCell ref="B27:C27"/>
    <mergeCell ref="F27:G27"/>
    <mergeCell ref="B24:G24"/>
    <mergeCell ref="B25:C25"/>
    <mergeCell ref="F25:G25"/>
    <mergeCell ref="B26:C26"/>
    <mergeCell ref="A5:H5"/>
    <mergeCell ref="B16:G16"/>
    <mergeCell ref="B17:C17"/>
    <mergeCell ref="B18:C18"/>
    <mergeCell ref="B20:C20"/>
    <mergeCell ref="D20:D21"/>
    <mergeCell ref="G20:G21"/>
    <mergeCell ref="B21:C21"/>
    <mergeCell ref="B19:C19"/>
    <mergeCell ref="D18:D19"/>
    <mergeCell ref="G18:G19"/>
    <mergeCell ref="F26:G26"/>
    <mergeCell ref="A1:H2"/>
    <mergeCell ref="A3:C3"/>
    <mergeCell ref="D3:H3"/>
    <mergeCell ref="A4:C4"/>
    <mergeCell ref="D4:H4"/>
  </mergeCells>
  <dataValidations count="4">
    <dataValidation type="list" allowBlank="1" showInputMessage="1" showErrorMessage="1" sqref="B12:B13">
      <formula1>$O$7:$O$9</formula1>
    </dataValidation>
    <dataValidation type="list" allowBlank="1" showInputMessage="1" showErrorMessage="1" sqref="D13:F13">
      <formula1>SpH</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 Aug, 17&amp;R&amp;A</oddFooter>
  </headerFooter>
  <drawing r:id="rId2"/>
</worksheet>
</file>

<file path=xl/worksheets/sheet11.xml><?xml version="1.0" encoding="utf-8"?>
<worksheet xmlns="http://schemas.openxmlformats.org/spreadsheetml/2006/main" xmlns:r="http://schemas.openxmlformats.org/officeDocument/2006/relationships">
  <dimension ref="A1:V69"/>
  <sheetViews>
    <sheetView showGridLines="0" showWhiteSpace="0" view="pageLayout" zoomScaleNormal="100" zoomScaleSheetLayoutView="100" workbookViewId="0">
      <selection activeCell="D12" sqref="D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2" width="9.125" style="124"/>
    <col min="23"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120</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90"/>
      <c r="C7" s="91"/>
      <c r="D7" s="54" t="s">
        <v>92</v>
      </c>
      <c r="E7" s="32">
        <v>714</v>
      </c>
      <c r="F7" s="62" t="s">
        <v>62</v>
      </c>
      <c r="G7" s="63">
        <v>3</v>
      </c>
      <c r="H7" s="56"/>
      <c r="M7" s="124">
        <v>10</v>
      </c>
      <c r="O7" s="124">
        <v>38</v>
      </c>
    </row>
    <row r="8" spans="1:16" ht="18" thickTop="1" thickBot="1">
      <c r="A8" s="57"/>
      <c r="B8" s="92"/>
      <c r="C8" s="72"/>
      <c r="D8" s="60"/>
      <c r="E8" s="61"/>
      <c r="F8" s="62"/>
      <c r="G8" s="63"/>
      <c r="H8" s="56"/>
      <c r="M8" s="124">
        <v>20</v>
      </c>
      <c r="O8" s="124">
        <v>65</v>
      </c>
    </row>
    <row r="9" spans="1:16" ht="18" thickTop="1" thickBot="1">
      <c r="A9" s="52"/>
      <c r="B9" s="53" t="s">
        <v>171</v>
      </c>
      <c r="C9" s="32">
        <v>1200</v>
      </c>
      <c r="D9" s="54" t="s">
        <v>93</v>
      </c>
      <c r="E9" s="64">
        <f>(B12*C12)+((C12-1)*G12)+100</f>
        <v>714</v>
      </c>
      <c r="F9" s="93"/>
      <c r="G9" s="75"/>
      <c r="H9" s="56"/>
      <c r="O9" s="124">
        <v>100</v>
      </c>
    </row>
    <row r="10" spans="1:16" ht="18" thickTop="1" thickBot="1">
      <c r="A10" s="52"/>
      <c r="B10" s="99" t="s">
        <v>172</v>
      </c>
      <c r="C10" s="66"/>
      <c r="D10" s="99" t="s">
        <v>173</v>
      </c>
      <c r="E10" s="65"/>
      <c r="F10" s="65"/>
      <c r="G10" s="65"/>
      <c r="H10" s="56"/>
    </row>
    <row r="11" spans="1:16" ht="18" thickTop="1" thickBot="1">
      <c r="A11" s="52"/>
      <c r="B11" s="67" t="s">
        <v>55</v>
      </c>
      <c r="C11" s="68" t="s">
        <v>56</v>
      </c>
      <c r="D11" s="69" t="s">
        <v>57</v>
      </c>
      <c r="E11" s="69" t="s">
        <v>58</v>
      </c>
      <c r="F11" s="69" t="s">
        <v>59</v>
      </c>
      <c r="G11" s="70" t="s">
        <v>60</v>
      </c>
      <c r="H11" s="56"/>
    </row>
    <row r="12" spans="1:16" ht="17.25" thickBot="1">
      <c r="A12" s="52"/>
      <c r="B12" s="28">
        <v>38</v>
      </c>
      <c r="C12" s="29">
        <v>13</v>
      </c>
      <c r="D12" s="30">
        <v>10</v>
      </c>
      <c r="E12" s="30"/>
      <c r="F12" s="30"/>
      <c r="G12" s="71">
        <f>D12+E12+F12</f>
        <v>10</v>
      </c>
      <c r="H12" s="56"/>
      <c r="M12" s="124" t="s">
        <v>63</v>
      </c>
      <c r="N12" s="125">
        <f>(C12)*2</f>
        <v>26</v>
      </c>
    </row>
    <row r="13" spans="1:16" ht="18" thickTop="1" thickBot="1">
      <c r="A13" s="57"/>
      <c r="B13" s="72"/>
      <c r="C13" s="73"/>
      <c r="D13" s="74"/>
      <c r="E13" s="74"/>
      <c r="F13" s="74"/>
      <c r="G13" s="75"/>
      <c r="H13" s="76"/>
      <c r="M13" s="124" t="s">
        <v>64</v>
      </c>
      <c r="N13" s="124">
        <f>IF(D12=10,N12,"")</f>
        <v>26</v>
      </c>
      <c r="O13" s="124" t="s">
        <v>65</v>
      </c>
      <c r="P13" s="124" t="str">
        <f>IF(D12=20,N12,"")</f>
        <v/>
      </c>
    </row>
    <row r="14" spans="1:16" ht="18" thickTop="1" thickBot="1">
      <c r="A14" s="52"/>
      <c r="B14" s="55" t="s">
        <v>61</v>
      </c>
      <c r="C14" s="77">
        <f>(((E7-100)-B12)/(B12+G12))+1</f>
        <v>13</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26</v>
      </c>
      <c r="O16" s="124" t="s">
        <v>76</v>
      </c>
      <c r="P16" s="124">
        <f>SUM(P13:P15)</f>
        <v>0</v>
      </c>
    </row>
    <row r="17" spans="1:22" ht="18" thickTop="1" thickBot="1">
      <c r="A17" s="52"/>
      <c r="B17" s="256" t="s">
        <v>47</v>
      </c>
      <c r="C17" s="257"/>
      <c r="D17" s="109" t="s">
        <v>69</v>
      </c>
      <c r="E17" s="109" t="s">
        <v>1</v>
      </c>
      <c r="F17" s="109" t="s">
        <v>70</v>
      </c>
      <c r="G17" s="110" t="s">
        <v>71</v>
      </c>
      <c r="H17" s="56"/>
    </row>
    <row r="18" spans="1:22" ht="18" thickTop="1" thickBot="1">
      <c r="A18" s="52"/>
      <c r="B18" s="258" t="s">
        <v>74</v>
      </c>
      <c r="C18" s="259"/>
      <c r="D18" s="111" t="s">
        <v>14</v>
      </c>
      <c r="E18" s="111">
        <f>E9-100</f>
        <v>614</v>
      </c>
      <c r="F18" s="81">
        <v>4</v>
      </c>
      <c r="G18" s="116">
        <f>ROUNDUP(F18/(ROUNDDOWN(VLOOKUP(D18,M18:N22,2,FALSE)/(E18+3),0)),0)</f>
        <v>1</v>
      </c>
      <c r="H18" s="56"/>
      <c r="M18" s="124" t="s">
        <v>14</v>
      </c>
      <c r="N18" s="124">
        <v>6500</v>
      </c>
    </row>
    <row r="19" spans="1:22" ht="17.25" thickBot="1">
      <c r="A19" s="52"/>
      <c r="B19" s="249" t="s">
        <v>174</v>
      </c>
      <c r="C19" s="250"/>
      <c r="D19" s="279" t="s">
        <v>12</v>
      </c>
      <c r="E19" s="107">
        <f>E9</f>
        <v>714</v>
      </c>
      <c r="F19" s="107">
        <v>2</v>
      </c>
      <c r="G19" s="299">
        <f>IF(((E21*F21)+(E19*F19)+(E20*F20)&lt;VLOOKUP(D19,M18:N22,2,FALSE)),ROUNDUP(((F21+F19+F20)/3)/(ROUNDDOWN(VLOOKUP(D19,M18:N22,2,FALSE)/(E21+E20+E19+9),0)),0),ROUNDUP(F21/(ROUNDDOWN(VLOOKUP(D19,M18:N22,2,FALSE)/(E21+3),0)),0)+ROUNDUP(F19/(ROUNDDOWN(VLOOKUP(D19,M18:N22,2,FALSE)/(E19+3),0)),0)+ROUNDUP(F20/(ROUNDDOWN(VLOOKUP(D19,M18:N22,2,FALSE)/(E20+3),0)),0))</f>
        <v>1</v>
      </c>
      <c r="H19" s="56"/>
      <c r="M19" s="124" t="s">
        <v>12</v>
      </c>
      <c r="N19" s="124">
        <v>6500</v>
      </c>
    </row>
    <row r="20" spans="1:22" ht="17.25" thickBot="1">
      <c r="A20" s="52"/>
      <c r="B20" s="249" t="s">
        <v>175</v>
      </c>
      <c r="C20" s="250"/>
      <c r="D20" s="279"/>
      <c r="E20" s="113">
        <f>E9-100</f>
        <v>614</v>
      </c>
      <c r="F20" s="113">
        <v>1</v>
      </c>
      <c r="G20" s="300"/>
      <c r="H20" s="56"/>
      <c r="M20" s="124" t="s">
        <v>15</v>
      </c>
      <c r="N20" s="124">
        <v>6500</v>
      </c>
    </row>
    <row r="21" spans="1:22" ht="17.25" thickBot="1">
      <c r="A21" s="52"/>
      <c r="B21" s="268" t="s">
        <v>89</v>
      </c>
      <c r="C21" s="269"/>
      <c r="D21" s="280"/>
      <c r="E21" s="113">
        <f>C9</f>
        <v>1200</v>
      </c>
      <c r="F21" s="113">
        <v>2</v>
      </c>
      <c r="G21" s="301"/>
      <c r="H21" s="56"/>
      <c r="M21" s="124" t="s">
        <v>11</v>
      </c>
      <c r="N21" s="124">
        <v>6500</v>
      </c>
    </row>
    <row r="22" spans="1:22" ht="17.25" thickBot="1">
      <c r="A22" s="52"/>
      <c r="B22" s="82" t="s">
        <v>77</v>
      </c>
      <c r="C22" s="83" t="str">
        <f>IF(B12=100,"100 x 16 x 1.2mm",IF(B12=65,"65 x 16 x 1.2mm",IF(B12=38,"38 x 16 x 1.6mm","")))</f>
        <v>38 x 16 x 1.6mm</v>
      </c>
      <c r="D22" s="112" t="str">
        <f>IF(B12=100,"EP12022",IF(B12=65,"EQ6823",IF(B12=38,"EP7822","")))</f>
        <v>EP7822</v>
      </c>
      <c r="E22" s="112">
        <f>(C9-174)/2</f>
        <v>513</v>
      </c>
      <c r="F22" s="117">
        <f>2*C12</f>
        <v>26</v>
      </c>
      <c r="G22" s="118">
        <f>ROUNDUP(F22/(ROUNDDOWN(VLOOKUP(D22,M18:N22,2,FALSE)/(E22+3),0)),0)</f>
        <v>3</v>
      </c>
      <c r="H22" s="56"/>
      <c r="M22" s="124" t="s">
        <v>10</v>
      </c>
      <c r="N22" s="124">
        <v>6500</v>
      </c>
    </row>
    <row r="23" spans="1:22" ht="18" thickTop="1" thickBot="1">
      <c r="A23" s="52"/>
      <c r="B23" s="80"/>
      <c r="C23" s="80"/>
      <c r="D23" s="78"/>
      <c r="E23" s="78"/>
      <c r="F23" s="78"/>
      <c r="G23" s="78"/>
      <c r="H23" s="56"/>
    </row>
    <row r="24" spans="1:22" ht="20.25" thickTop="1" thickBot="1">
      <c r="A24" s="52"/>
      <c r="B24" s="253" t="s">
        <v>78</v>
      </c>
      <c r="C24" s="254"/>
      <c r="D24" s="254"/>
      <c r="E24" s="254"/>
      <c r="F24" s="254"/>
      <c r="G24" s="255"/>
      <c r="H24" s="56"/>
    </row>
    <row r="25" spans="1:22" ht="18" thickTop="1" thickBot="1">
      <c r="A25" s="52"/>
      <c r="B25" s="256" t="s">
        <v>79</v>
      </c>
      <c r="C25" s="257"/>
      <c r="D25" s="109" t="s">
        <v>80</v>
      </c>
      <c r="E25" s="109" t="s">
        <v>81</v>
      </c>
      <c r="F25" s="263" t="s">
        <v>70</v>
      </c>
      <c r="G25" s="264"/>
      <c r="H25" s="56"/>
    </row>
    <row r="26" spans="1:22" ht="18" thickTop="1" thickBot="1">
      <c r="A26" s="52"/>
      <c r="B26" s="249" t="s">
        <v>84</v>
      </c>
      <c r="C26" s="250"/>
      <c r="D26" s="107">
        <v>317671</v>
      </c>
      <c r="E26" s="107" t="s">
        <v>83</v>
      </c>
      <c r="F26" s="251">
        <f>N16</f>
        <v>26</v>
      </c>
      <c r="G26" s="252"/>
      <c r="H26" s="56"/>
    </row>
    <row r="27" spans="1:22" ht="17.25" thickBot="1">
      <c r="A27" s="52"/>
      <c r="B27" s="249" t="s">
        <v>85</v>
      </c>
      <c r="C27" s="250"/>
      <c r="D27" s="107">
        <v>317672</v>
      </c>
      <c r="E27" s="107" t="s">
        <v>83</v>
      </c>
      <c r="F27" s="251">
        <f>P16</f>
        <v>0</v>
      </c>
      <c r="G27" s="252"/>
      <c r="H27" s="56"/>
      <c r="T27" s="124">
        <f>E19*F19</f>
        <v>1428</v>
      </c>
    </row>
    <row r="28" spans="1:22" ht="17.25" thickBot="1">
      <c r="A28" s="52"/>
      <c r="B28" s="249" t="s">
        <v>176</v>
      </c>
      <c r="C28" s="250"/>
      <c r="D28" s="107">
        <v>317676</v>
      </c>
      <c r="E28" s="107" t="s">
        <v>83</v>
      </c>
      <c r="F28" s="260">
        <f>N12</f>
        <v>26</v>
      </c>
      <c r="G28" s="267"/>
      <c r="H28" s="56"/>
      <c r="T28" s="124">
        <f>E20*F20</f>
        <v>614</v>
      </c>
    </row>
    <row r="29" spans="1:22" ht="17.25" thickBot="1">
      <c r="A29" s="52"/>
      <c r="B29" s="249" t="s">
        <v>177</v>
      </c>
      <c r="C29" s="250"/>
      <c r="D29" s="107">
        <v>301086</v>
      </c>
      <c r="E29" s="107" t="s">
        <v>83</v>
      </c>
      <c r="F29" s="260">
        <f>MAX(4*(ROUNDUP((E18/300),0)+1),4)</f>
        <v>16</v>
      </c>
      <c r="G29" s="267"/>
      <c r="H29" s="56"/>
      <c r="T29" s="124">
        <f>E21*F21</f>
        <v>2400</v>
      </c>
    </row>
    <row r="30" spans="1:22" ht="17.25" thickBot="1">
      <c r="A30" s="52"/>
      <c r="B30" s="268" t="s">
        <v>91</v>
      </c>
      <c r="C30" s="269"/>
      <c r="D30" s="107">
        <v>726324</v>
      </c>
      <c r="E30" s="107" t="s">
        <v>83</v>
      </c>
      <c r="F30" s="270">
        <v>4</v>
      </c>
      <c r="G30" s="271"/>
      <c r="H30" s="56"/>
      <c r="T30" s="124">
        <f>SUM(T27:T29)</f>
        <v>4442</v>
      </c>
    </row>
    <row r="31" spans="1:22" s="46" customFormat="1" ht="17.25" thickBot="1">
      <c r="A31" s="52"/>
      <c r="B31" s="268" t="s">
        <v>178</v>
      </c>
      <c r="C31" s="269"/>
      <c r="D31" s="114">
        <v>301086</v>
      </c>
      <c r="E31" s="114" t="s">
        <v>83</v>
      </c>
      <c r="F31" s="270">
        <v>16</v>
      </c>
      <c r="G31" s="271"/>
      <c r="H31" s="56"/>
      <c r="I31" s="124"/>
      <c r="J31" s="124"/>
      <c r="K31" s="124"/>
      <c r="L31" s="124"/>
      <c r="M31" s="124"/>
      <c r="N31" s="124"/>
      <c r="O31" s="124"/>
      <c r="P31" s="124"/>
      <c r="Q31" s="124"/>
      <c r="R31" s="124"/>
      <c r="S31" s="124"/>
      <c r="T31" s="124"/>
      <c r="U31" s="124"/>
      <c r="V31" s="124"/>
    </row>
    <row r="32" spans="1:22" ht="17.25" thickBot="1">
      <c r="A32" s="52"/>
      <c r="B32" s="302" t="s">
        <v>115</v>
      </c>
      <c r="C32" s="303"/>
      <c r="D32" s="114">
        <v>301620</v>
      </c>
      <c r="E32" s="114" t="s">
        <v>83</v>
      </c>
      <c r="F32" s="304">
        <v>2</v>
      </c>
      <c r="G32" s="305"/>
      <c r="H32" s="56"/>
      <c r="T32" s="124">
        <f>T30/6500</f>
        <v>0.68338461538461537</v>
      </c>
    </row>
    <row r="33" spans="1:22" ht="17.25" thickBot="1">
      <c r="A33" s="52"/>
      <c r="B33" s="268" t="s">
        <v>179</v>
      </c>
      <c r="C33" s="269"/>
      <c r="D33" s="112">
        <v>301086</v>
      </c>
      <c r="E33" s="112" t="s">
        <v>83</v>
      </c>
      <c r="F33" s="306">
        <v>6</v>
      </c>
      <c r="G33" s="307"/>
      <c r="H33" s="56"/>
    </row>
    <row r="34" spans="1:22" ht="17.25" thickBot="1">
      <c r="A34" s="52"/>
      <c r="B34" s="85"/>
      <c r="C34" s="85"/>
      <c r="D34" s="78"/>
      <c r="E34" s="78"/>
      <c r="F34" s="86"/>
      <c r="G34" s="86"/>
      <c r="H34" s="56"/>
    </row>
    <row r="35" spans="1:22" ht="20.25" thickTop="1" thickBot="1">
      <c r="A35" s="52"/>
      <c r="B35" s="253" t="s">
        <v>130</v>
      </c>
      <c r="C35" s="254"/>
      <c r="D35" s="254"/>
      <c r="E35" s="254"/>
      <c r="F35" s="254"/>
      <c r="G35" s="255"/>
      <c r="H35" s="56"/>
    </row>
    <row r="36" spans="1:22" ht="18" thickTop="1" thickBot="1">
      <c r="A36" s="52"/>
      <c r="B36" s="256" t="s">
        <v>125</v>
      </c>
      <c r="C36" s="257"/>
      <c r="D36" s="109" t="s">
        <v>126</v>
      </c>
      <c r="E36" s="109" t="s">
        <v>127</v>
      </c>
      <c r="F36" s="109" t="s">
        <v>70</v>
      </c>
      <c r="G36" s="110" t="s">
        <v>71</v>
      </c>
      <c r="H36" s="56"/>
    </row>
    <row r="37" spans="1:22" ht="18" thickTop="1" thickBot="1">
      <c r="A37" s="52"/>
      <c r="B37" s="258" t="s">
        <v>124</v>
      </c>
      <c r="C37" s="259"/>
      <c r="D37" s="111" t="s">
        <v>11</v>
      </c>
      <c r="E37" s="111">
        <f>E9-104</f>
        <v>610</v>
      </c>
      <c r="F37" s="81">
        <v>2</v>
      </c>
      <c r="G37" s="116">
        <f>ROUNDUP(F37/(ROUNDDOWN(VLOOKUP(D37,M18:N22,2,FALSE)/(E37+3),0)),0)</f>
        <v>1</v>
      </c>
      <c r="H37" s="56"/>
    </row>
    <row r="38" spans="1:22" ht="17.25" thickBot="1">
      <c r="A38" s="52"/>
      <c r="B38" s="249" t="s">
        <v>129</v>
      </c>
      <c r="C38" s="250"/>
      <c r="D38" s="107">
        <v>308945</v>
      </c>
      <c r="E38" s="107" t="s">
        <v>83</v>
      </c>
      <c r="F38" s="251">
        <v>4</v>
      </c>
      <c r="G38" s="252"/>
      <c r="H38" s="56"/>
    </row>
    <row r="39" spans="1:22" ht="17.25" thickBot="1">
      <c r="A39" s="52"/>
      <c r="B39" s="249" t="s">
        <v>128</v>
      </c>
      <c r="C39" s="250"/>
      <c r="D39" s="107">
        <v>301086</v>
      </c>
      <c r="E39" s="107" t="s">
        <v>83</v>
      </c>
      <c r="F39" s="251">
        <v>4</v>
      </c>
      <c r="G39" s="252"/>
      <c r="H39" s="56"/>
    </row>
    <row r="40" spans="1:22" s="46" customFormat="1" ht="17.25" thickBot="1">
      <c r="A40" s="52"/>
      <c r="B40" s="268" t="s">
        <v>132</v>
      </c>
      <c r="C40" s="269"/>
      <c r="D40" s="113">
        <v>317077</v>
      </c>
      <c r="E40" s="113" t="s">
        <v>131</v>
      </c>
      <c r="F40" s="276">
        <f>C12*4*20</f>
        <v>1040</v>
      </c>
      <c r="G40" s="277"/>
      <c r="H40" s="56"/>
      <c r="I40" s="124"/>
      <c r="J40" s="124"/>
      <c r="K40" s="124"/>
      <c r="L40" s="124"/>
      <c r="M40" s="124"/>
      <c r="N40" s="124"/>
      <c r="O40" s="124"/>
      <c r="P40" s="124"/>
      <c r="Q40" s="124"/>
      <c r="R40" s="124"/>
      <c r="S40" s="124"/>
      <c r="T40" s="124"/>
      <c r="U40" s="124"/>
      <c r="V40" s="124"/>
    </row>
    <row r="41" spans="1:22" ht="17.25" thickBot="1">
      <c r="A41" s="52"/>
      <c r="B41" s="272" t="s">
        <v>86</v>
      </c>
      <c r="C41" s="273"/>
      <c r="D41" s="112">
        <v>309327</v>
      </c>
      <c r="E41" s="112" t="s">
        <v>83</v>
      </c>
      <c r="F41" s="274">
        <v>4</v>
      </c>
      <c r="G41" s="275"/>
      <c r="H41" s="56"/>
    </row>
    <row r="42" spans="1:22" ht="17.25" thickTop="1">
      <c r="A42" s="33"/>
      <c r="B42" s="36"/>
      <c r="C42" s="36"/>
      <c r="D42" s="10"/>
      <c r="E42" s="10"/>
      <c r="F42" s="10"/>
      <c r="G42" s="10"/>
      <c r="H42" s="34"/>
    </row>
    <row r="43" spans="1:22" ht="16.5">
      <c r="A43" s="33"/>
      <c r="B43" s="36"/>
      <c r="C43" s="36"/>
      <c r="D43" s="10"/>
      <c r="E43" s="10"/>
      <c r="F43" s="10"/>
      <c r="G43" s="11"/>
      <c r="H43" s="34"/>
    </row>
    <row r="44" spans="1:22" ht="16.5">
      <c r="A44" s="33"/>
      <c r="B44" s="36"/>
      <c r="C44" s="36"/>
      <c r="D44" s="10"/>
      <c r="E44" s="10"/>
      <c r="F44" s="10"/>
      <c r="G44" s="11"/>
      <c r="H44" s="37"/>
    </row>
    <row r="45" spans="1:22" ht="15" customHeight="1">
      <c r="A45" s="38"/>
      <c r="B45" s="39"/>
      <c r="C45" s="39"/>
      <c r="D45" s="35"/>
      <c r="E45" s="35"/>
      <c r="F45" s="35"/>
      <c r="G45" s="11"/>
      <c r="H45" s="37"/>
    </row>
    <row r="46" spans="1:22" ht="15" customHeight="1">
      <c r="A46" s="38"/>
      <c r="B46" s="39"/>
      <c r="C46" s="39"/>
      <c r="D46" s="35"/>
      <c r="E46" s="35"/>
      <c r="F46" s="35"/>
      <c r="G46" s="11"/>
      <c r="H46" s="37"/>
    </row>
    <row r="47" spans="1:22" ht="15" customHeight="1">
      <c r="A47" s="38"/>
      <c r="B47" s="39"/>
      <c r="C47" s="39"/>
      <c r="D47" s="35"/>
      <c r="E47" s="35"/>
      <c r="F47" s="35"/>
      <c r="G47" s="11"/>
      <c r="H47" s="37"/>
    </row>
    <row r="48" spans="1:22" ht="15" customHeight="1">
      <c r="A48" s="38"/>
      <c r="B48" s="39"/>
      <c r="C48" s="39"/>
      <c r="D48" s="35"/>
      <c r="E48" s="35"/>
      <c r="F48" s="35"/>
      <c r="G48" s="11"/>
      <c r="H48" s="37"/>
    </row>
    <row r="49" spans="1:22" ht="15" customHeight="1">
      <c r="A49" s="38"/>
      <c r="B49" s="39"/>
      <c r="C49" s="39"/>
      <c r="D49" s="35"/>
      <c r="E49" s="35"/>
      <c r="F49" s="35"/>
      <c r="G49" s="11"/>
      <c r="H49" s="37"/>
    </row>
    <row r="50" spans="1:22" ht="15" customHeight="1">
      <c r="A50" s="38"/>
      <c r="B50" s="39"/>
      <c r="C50" s="39"/>
      <c r="D50" s="35"/>
      <c r="E50" s="35"/>
      <c r="F50" s="35"/>
      <c r="G50" s="11"/>
      <c r="H50" s="37"/>
    </row>
    <row r="51" spans="1:22" ht="15" customHeight="1">
      <c r="A51" s="38"/>
      <c r="B51" s="39"/>
      <c r="C51" s="39"/>
      <c r="D51" s="35"/>
      <c r="E51" s="35"/>
      <c r="F51" s="35"/>
      <c r="G51" s="11"/>
      <c r="H51" s="37"/>
    </row>
    <row r="52" spans="1:22" ht="15" customHeight="1">
      <c r="A52" s="38"/>
      <c r="B52" s="39"/>
      <c r="C52" s="39"/>
      <c r="D52" s="35"/>
      <c r="E52" s="35"/>
      <c r="F52" s="35"/>
      <c r="G52" s="11"/>
      <c r="H52" s="37"/>
    </row>
    <row r="53" spans="1:22" ht="15" customHeight="1">
      <c r="A53" s="38"/>
      <c r="B53" s="39"/>
      <c r="C53" s="39"/>
      <c r="D53" s="35"/>
      <c r="E53" s="35"/>
      <c r="F53" s="35"/>
      <c r="G53" s="11"/>
      <c r="H53" s="37"/>
    </row>
    <row r="54" spans="1:22" ht="15" customHeight="1">
      <c r="A54" s="38"/>
      <c r="B54" s="39"/>
      <c r="C54" s="39"/>
      <c r="D54" s="35"/>
      <c r="E54" s="35"/>
      <c r="F54" s="35"/>
      <c r="G54" s="11"/>
      <c r="H54" s="37"/>
    </row>
    <row r="55" spans="1:22" ht="15" customHeight="1">
      <c r="A55" s="38"/>
      <c r="B55" s="39"/>
      <c r="C55" s="39"/>
      <c r="D55" s="35"/>
      <c r="E55" s="35"/>
      <c r="F55" s="35"/>
      <c r="G55" s="11"/>
      <c r="H55" s="37"/>
    </row>
    <row r="56" spans="1:22" ht="15" customHeight="1">
      <c r="A56" s="38"/>
      <c r="B56" s="39"/>
      <c r="C56" s="39"/>
      <c r="D56" s="35"/>
      <c r="E56" s="35"/>
      <c r="F56" s="35"/>
      <c r="G56" s="11"/>
      <c r="H56" s="37"/>
    </row>
    <row r="57" spans="1:22" ht="15" customHeight="1">
      <c r="A57" s="38"/>
      <c r="B57" s="39"/>
      <c r="C57" s="39"/>
      <c r="D57" s="35"/>
      <c r="E57" s="35"/>
      <c r="F57" s="35"/>
      <c r="G57" s="11"/>
      <c r="H57" s="37"/>
    </row>
    <row r="58" spans="1:22" ht="15" customHeight="1">
      <c r="A58" s="38"/>
      <c r="B58" s="39"/>
      <c r="C58" s="39"/>
      <c r="D58" s="35"/>
      <c r="E58" s="35"/>
      <c r="F58" s="35"/>
      <c r="G58" s="11"/>
      <c r="H58" s="37"/>
    </row>
    <row r="59" spans="1:22" ht="15" customHeight="1">
      <c r="A59" s="38"/>
      <c r="B59" s="39"/>
      <c r="C59" s="39"/>
      <c r="D59" s="35"/>
      <c r="E59" s="35"/>
      <c r="F59" s="35"/>
      <c r="G59" s="11"/>
      <c r="H59" s="37"/>
    </row>
    <row r="60" spans="1:22" ht="15" customHeight="1">
      <c r="A60" s="38"/>
      <c r="B60" s="39"/>
      <c r="C60" s="39"/>
      <c r="D60" s="35"/>
      <c r="E60" s="35"/>
      <c r="F60" s="35"/>
      <c r="G60" s="11"/>
      <c r="H60" s="37"/>
    </row>
    <row r="61" spans="1:22" s="46" customFormat="1" ht="15" customHeight="1">
      <c r="A61" s="38"/>
      <c r="B61" s="39"/>
      <c r="C61" s="39"/>
      <c r="D61" s="35"/>
      <c r="E61" s="35"/>
      <c r="F61" s="35"/>
      <c r="G61" s="11"/>
      <c r="H61" s="37"/>
      <c r="I61" s="124"/>
      <c r="J61" s="124"/>
      <c r="K61" s="124"/>
      <c r="L61" s="124"/>
      <c r="M61" s="124"/>
      <c r="N61" s="124"/>
      <c r="O61" s="124"/>
      <c r="P61" s="124"/>
      <c r="Q61" s="124"/>
      <c r="R61" s="124"/>
      <c r="S61" s="124"/>
      <c r="T61" s="124"/>
      <c r="U61" s="124"/>
      <c r="V61" s="124"/>
    </row>
    <row r="62" spans="1:22" s="46" customFormat="1" ht="15" customHeight="1">
      <c r="A62" s="38"/>
      <c r="B62" s="39"/>
      <c r="C62" s="39"/>
      <c r="D62" s="35"/>
      <c r="E62" s="35"/>
      <c r="F62" s="35"/>
      <c r="G62" s="11"/>
      <c r="H62" s="37"/>
      <c r="I62" s="124"/>
      <c r="J62" s="124"/>
      <c r="K62" s="124"/>
      <c r="L62" s="124"/>
      <c r="M62" s="124"/>
      <c r="N62" s="124"/>
      <c r="O62" s="124"/>
      <c r="P62" s="124"/>
      <c r="Q62" s="124"/>
      <c r="R62" s="124"/>
      <c r="S62" s="124"/>
      <c r="T62" s="124"/>
      <c r="U62" s="124"/>
      <c r="V62" s="124"/>
    </row>
    <row r="63" spans="1:22">
      <c r="A63" s="38"/>
      <c r="B63" s="39"/>
      <c r="C63" s="39"/>
      <c r="D63" s="35"/>
      <c r="E63" s="35"/>
      <c r="F63" s="35"/>
      <c r="G63" s="35"/>
      <c r="H63" s="37"/>
    </row>
    <row r="64" spans="1:22">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c r="A68" s="39"/>
      <c r="B68" s="39"/>
      <c r="C68" s="39"/>
      <c r="D68" s="35"/>
      <c r="E68" s="35"/>
      <c r="F68" s="35"/>
      <c r="G68" s="35"/>
      <c r="H68" s="39"/>
    </row>
    <row r="69" spans="1:8">
      <c r="A69" s="39"/>
      <c r="B69" s="39"/>
      <c r="C69" s="39"/>
      <c r="D69" s="35"/>
      <c r="E69" s="35"/>
      <c r="F69" s="35"/>
      <c r="G69" s="35"/>
      <c r="H69" s="39"/>
    </row>
  </sheetData>
  <sheetProtection password="DE70" sheet="1" objects="1" scenarios="1"/>
  <mergeCells count="45">
    <mergeCell ref="B64:G66"/>
    <mergeCell ref="B33:C33"/>
    <mergeCell ref="F33:G33"/>
    <mergeCell ref="B36:C36"/>
    <mergeCell ref="B37:C37"/>
    <mergeCell ref="B38:C38"/>
    <mergeCell ref="F38:G38"/>
    <mergeCell ref="B39:C39"/>
    <mergeCell ref="F39:G39"/>
    <mergeCell ref="B41:C41"/>
    <mergeCell ref="F41:G41"/>
    <mergeCell ref="B40:C40"/>
    <mergeCell ref="F40:G40"/>
    <mergeCell ref="B30:C30"/>
    <mergeCell ref="F30:G30"/>
    <mergeCell ref="B32:C32"/>
    <mergeCell ref="F32:G32"/>
    <mergeCell ref="B35:G35"/>
    <mergeCell ref="B31:C31"/>
    <mergeCell ref="F31:G31"/>
    <mergeCell ref="B28:C28"/>
    <mergeCell ref="F28:G28"/>
    <mergeCell ref="B29:C29"/>
    <mergeCell ref="F29:G29"/>
    <mergeCell ref="B24:G24"/>
    <mergeCell ref="B25:C25"/>
    <mergeCell ref="F25:G25"/>
    <mergeCell ref="B26:C26"/>
    <mergeCell ref="F26:G26"/>
    <mergeCell ref="B27:C27"/>
    <mergeCell ref="F27:G27"/>
    <mergeCell ref="A5:H5"/>
    <mergeCell ref="A1:H2"/>
    <mergeCell ref="A3:C3"/>
    <mergeCell ref="D3:H3"/>
    <mergeCell ref="A4:C4"/>
    <mergeCell ref="D4:H4"/>
    <mergeCell ref="B16:G16"/>
    <mergeCell ref="B17:C17"/>
    <mergeCell ref="B18:C18"/>
    <mergeCell ref="B19:C19"/>
    <mergeCell ref="D19:D21"/>
    <mergeCell ref="G19:G21"/>
    <mergeCell ref="B21:C21"/>
    <mergeCell ref="B20:C20"/>
  </mergeCells>
  <dataValidations count="4">
    <dataValidation type="list" allowBlank="1" showInputMessage="1" showErrorMessage="1" sqref="B12:B13">
      <formula1>$O$7:$O$9</formula1>
    </dataValidation>
    <dataValidation type="list" allowBlank="1" showInputMessage="1" showErrorMessage="1" sqref="D13:F13">
      <formula1>SpH</formula1>
    </dataValidation>
    <dataValidation type="list" allowBlank="1" showInputMessage="1" showErrorMessage="1" sqref="D12">
      <formula1>$M$7:$M$8</formula1>
    </dataValidation>
    <dataValidation type="list" allowBlank="1" showInputMessage="1" showErrorMessage="1" sqref="E12:F12">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 Aug, 17&amp;R&amp;A</oddFooter>
  </headerFooter>
  <drawing r:id="rId2"/>
</worksheet>
</file>

<file path=xl/worksheets/sheet12.xml><?xml version="1.0" encoding="utf-8"?>
<worksheet xmlns="http://schemas.openxmlformats.org/spreadsheetml/2006/main" xmlns:r="http://schemas.openxmlformats.org/officeDocument/2006/relationships">
  <dimension ref="A1:V69"/>
  <sheetViews>
    <sheetView showGridLines="0" showWhiteSpace="0" view="pageLayout" zoomScaleNormal="100" zoomScaleSheetLayoutView="100" workbookViewId="0">
      <selection activeCell="N12" sqref="N12"/>
    </sheetView>
  </sheetViews>
  <sheetFormatPr defaultColWidth="9.125" defaultRowHeight="15"/>
  <cols>
    <col min="1" max="1" width="1.375" style="13" customWidth="1"/>
    <col min="2" max="3" width="24.625" style="13" customWidth="1"/>
    <col min="4" max="7" width="24.625" style="12" customWidth="1"/>
    <col min="8" max="8" width="1.375" style="13" customWidth="1"/>
    <col min="9" max="12" width="9.125" style="124"/>
    <col min="13" max="13" width="21.625" style="124" customWidth="1"/>
    <col min="14" max="14" width="9.125" style="124"/>
    <col min="15" max="15" width="20.125" style="124" customWidth="1"/>
    <col min="16" max="22" width="9.125" style="124"/>
    <col min="23" max="16384" width="9.125" style="13"/>
  </cols>
  <sheetData>
    <row r="1" spans="1:16" ht="16.5" thickTop="1" thickBot="1">
      <c r="A1" s="221"/>
      <c r="B1" s="222"/>
      <c r="C1" s="222"/>
      <c r="D1" s="222"/>
      <c r="E1" s="222"/>
      <c r="F1" s="222"/>
      <c r="G1" s="222"/>
      <c r="H1" s="238"/>
    </row>
    <row r="2" spans="1:16" ht="111.75" customHeight="1" thickBot="1">
      <c r="A2" s="223"/>
      <c r="B2" s="224"/>
      <c r="C2" s="224"/>
      <c r="D2" s="224"/>
      <c r="E2" s="224"/>
      <c r="F2" s="224"/>
      <c r="G2" s="224"/>
      <c r="H2" s="239"/>
    </row>
    <row r="3" spans="1:16" ht="41.25" customHeight="1" thickBot="1">
      <c r="A3" s="240" t="s">
        <v>152</v>
      </c>
      <c r="B3" s="241"/>
      <c r="C3" s="241"/>
      <c r="D3" s="242" t="s">
        <v>151</v>
      </c>
      <c r="E3" s="243"/>
      <c r="F3" s="243"/>
      <c r="G3" s="243"/>
      <c r="H3" s="244"/>
    </row>
    <row r="4" spans="1:16" ht="75" customHeight="1" thickBot="1">
      <c r="A4" s="245" t="s">
        <v>153</v>
      </c>
      <c r="B4" s="246"/>
      <c r="C4" s="247"/>
      <c r="D4" s="241" t="s">
        <v>154</v>
      </c>
      <c r="E4" s="241"/>
      <c r="F4" s="241"/>
      <c r="G4" s="241"/>
      <c r="H4" s="248"/>
    </row>
    <row r="5" spans="1:16" ht="37.5" customHeight="1" thickTop="1" thickBot="1">
      <c r="A5" s="235" t="s">
        <v>123</v>
      </c>
      <c r="B5" s="236"/>
      <c r="C5" s="236"/>
      <c r="D5" s="236"/>
      <c r="E5" s="236"/>
      <c r="F5" s="236"/>
      <c r="G5" s="236"/>
      <c r="H5" s="237"/>
    </row>
    <row r="6" spans="1:16" ht="18" thickTop="1" thickBot="1">
      <c r="A6" s="48"/>
      <c r="B6" s="49"/>
      <c r="C6" s="49"/>
      <c r="D6" s="50"/>
      <c r="E6" s="50"/>
      <c r="F6" s="50"/>
      <c r="G6" s="50"/>
      <c r="H6" s="51"/>
      <c r="M6" s="124" t="s">
        <v>53</v>
      </c>
      <c r="O6" s="124" t="s">
        <v>54</v>
      </c>
    </row>
    <row r="7" spans="1:16" ht="18" thickTop="1" thickBot="1">
      <c r="A7" s="52"/>
      <c r="B7" s="90"/>
      <c r="C7" s="91"/>
      <c r="D7" s="54" t="s">
        <v>92</v>
      </c>
      <c r="E7" s="32">
        <v>1194</v>
      </c>
      <c r="F7" s="62" t="s">
        <v>62</v>
      </c>
      <c r="G7" s="63">
        <v>3</v>
      </c>
      <c r="H7" s="56"/>
      <c r="M7" s="124">
        <v>10</v>
      </c>
      <c r="O7" s="124">
        <v>38</v>
      </c>
    </row>
    <row r="8" spans="1:16" ht="18" thickTop="1" thickBot="1">
      <c r="A8" s="57"/>
      <c r="B8" s="92"/>
      <c r="C8" s="72"/>
      <c r="D8" s="60"/>
      <c r="E8" s="61"/>
      <c r="F8" s="62"/>
      <c r="G8" s="63"/>
      <c r="H8" s="56"/>
      <c r="M8" s="124">
        <v>20</v>
      </c>
      <c r="O8" s="124">
        <v>65</v>
      </c>
    </row>
    <row r="9" spans="1:16" ht="18" thickTop="1" thickBot="1">
      <c r="A9" s="52"/>
      <c r="B9" s="53" t="s">
        <v>171</v>
      </c>
      <c r="C9" s="32">
        <v>1200</v>
      </c>
      <c r="D9" s="54" t="s">
        <v>93</v>
      </c>
      <c r="E9" s="64">
        <f>(B12*C12)+((C12-1)*G12)+112</f>
        <v>390</v>
      </c>
      <c r="F9" s="93"/>
      <c r="G9" s="75"/>
      <c r="H9" s="56"/>
      <c r="O9" s="124">
        <v>100</v>
      </c>
    </row>
    <row r="10" spans="1:16" ht="18" thickTop="1" thickBot="1">
      <c r="A10" s="52"/>
      <c r="B10" s="99" t="s">
        <v>172</v>
      </c>
      <c r="C10" s="66"/>
      <c r="D10" s="99" t="s">
        <v>173</v>
      </c>
      <c r="E10" s="65"/>
      <c r="F10" s="65"/>
      <c r="G10" s="65"/>
      <c r="H10" s="56"/>
    </row>
    <row r="11" spans="1:16" ht="18" thickTop="1" thickBot="1">
      <c r="A11" s="52"/>
      <c r="B11" s="67" t="s">
        <v>55</v>
      </c>
      <c r="C11" s="68" t="s">
        <v>56</v>
      </c>
      <c r="D11" s="69" t="s">
        <v>57</v>
      </c>
      <c r="E11" s="69" t="s">
        <v>58</v>
      </c>
      <c r="F11" s="69" t="s">
        <v>59</v>
      </c>
      <c r="G11" s="70" t="s">
        <v>60</v>
      </c>
      <c r="H11" s="56"/>
    </row>
    <row r="12" spans="1:16" ht="17.25" thickBot="1">
      <c r="A12" s="52"/>
      <c r="B12" s="28">
        <v>38</v>
      </c>
      <c r="C12" s="29">
        <v>6</v>
      </c>
      <c r="D12" s="30">
        <v>10</v>
      </c>
      <c r="E12" s="30"/>
      <c r="F12" s="30"/>
      <c r="G12" s="71">
        <f>D12+E12+F12</f>
        <v>10</v>
      </c>
      <c r="H12" s="56"/>
      <c r="M12" s="124" t="s">
        <v>63</v>
      </c>
      <c r="N12" s="125">
        <f>(C12-1)*2</f>
        <v>10</v>
      </c>
    </row>
    <row r="13" spans="1:16" ht="18" thickTop="1" thickBot="1">
      <c r="A13" s="57"/>
      <c r="B13" s="72"/>
      <c r="C13" s="73"/>
      <c r="D13" s="74"/>
      <c r="E13" s="74"/>
      <c r="F13" s="74"/>
      <c r="G13" s="75"/>
      <c r="H13" s="76"/>
      <c r="M13" s="124" t="s">
        <v>64</v>
      </c>
      <c r="N13" s="124">
        <f>IF(D12=10,N12,"")</f>
        <v>10</v>
      </c>
      <c r="O13" s="124" t="s">
        <v>65</v>
      </c>
      <c r="P13" s="124" t="str">
        <f>IF(D12=20,N12,"")</f>
        <v/>
      </c>
    </row>
    <row r="14" spans="1:16" ht="18" thickTop="1" thickBot="1">
      <c r="A14" s="52"/>
      <c r="B14" s="54" t="s">
        <v>61</v>
      </c>
      <c r="C14" s="77">
        <f>(((E7-112)-B12)/(B12+G12)+1)</f>
        <v>22.75</v>
      </c>
      <c r="D14" s="78"/>
      <c r="E14" s="79"/>
      <c r="F14" s="79"/>
      <c r="G14" s="78"/>
      <c r="H14" s="56"/>
      <c r="M14" s="124" t="s">
        <v>67</v>
      </c>
      <c r="N14" s="124" t="str">
        <f>IF(E12=10,N12,"")</f>
        <v/>
      </c>
      <c r="O14" s="124" t="s">
        <v>68</v>
      </c>
      <c r="P14" s="124" t="str">
        <f>IF(E12=20,N12,"")</f>
        <v/>
      </c>
    </row>
    <row r="15" spans="1:16" ht="18" thickTop="1" thickBot="1">
      <c r="A15" s="52"/>
      <c r="B15" s="80"/>
      <c r="C15" s="80"/>
      <c r="D15" s="78"/>
      <c r="E15" s="78"/>
      <c r="F15" s="78"/>
      <c r="G15" s="78"/>
      <c r="H15" s="56"/>
      <c r="M15" s="124" t="s">
        <v>72</v>
      </c>
      <c r="N15" s="124" t="str">
        <f>IF(F12=10,N12,"")</f>
        <v/>
      </c>
      <c r="O15" s="124" t="s">
        <v>73</v>
      </c>
      <c r="P15" s="124" t="str">
        <f>IF(F12=20,N12,"")</f>
        <v/>
      </c>
    </row>
    <row r="16" spans="1:16" ht="20.25" thickTop="1" thickBot="1">
      <c r="A16" s="52"/>
      <c r="B16" s="253" t="s">
        <v>66</v>
      </c>
      <c r="C16" s="254"/>
      <c r="D16" s="254"/>
      <c r="E16" s="254"/>
      <c r="F16" s="254"/>
      <c r="G16" s="255"/>
      <c r="H16" s="56"/>
      <c r="M16" s="124" t="s">
        <v>75</v>
      </c>
      <c r="N16" s="124">
        <f>SUM(N13:N15)</f>
        <v>10</v>
      </c>
      <c r="O16" s="124" t="s">
        <v>76</v>
      </c>
      <c r="P16" s="124">
        <f>SUM(P13:P15)</f>
        <v>0</v>
      </c>
    </row>
    <row r="17" spans="1:22" ht="18" thickTop="1" thickBot="1">
      <c r="A17" s="52"/>
      <c r="B17" s="256" t="s">
        <v>47</v>
      </c>
      <c r="C17" s="257"/>
      <c r="D17" s="109" t="s">
        <v>69</v>
      </c>
      <c r="E17" s="109" t="s">
        <v>1</v>
      </c>
      <c r="F17" s="109" t="s">
        <v>70</v>
      </c>
      <c r="G17" s="110" t="s">
        <v>71</v>
      </c>
      <c r="H17" s="56"/>
    </row>
    <row r="18" spans="1:22" ht="18" thickTop="1" thickBot="1">
      <c r="A18" s="52"/>
      <c r="B18" s="258" t="s">
        <v>117</v>
      </c>
      <c r="C18" s="259"/>
      <c r="D18" s="265" t="s">
        <v>14</v>
      </c>
      <c r="E18" s="111">
        <f>E9-100</f>
        <v>290</v>
      </c>
      <c r="F18" s="81">
        <v>4</v>
      </c>
      <c r="G18" s="311">
        <f>IF(((E18*F18)+(E19*F19)&lt;VLOOKUP(D18,M18:N22,2,FALSE)),ROUNDUP(((F19+F18)/2)/(ROUNDDOWN(VLOOKUP(D18,M18:N22,2,FALSE)/(E18+E19+6),0)),0),ROUNDUP(F19/(ROUNDDOWN(VLOOKUP(D18,M18:N22,2,FALSE)/(E19+3),0)),0)+ROUNDUP(F18/(ROUNDDOWN(VLOOKUP(D18,M18:N22,2,FALSE)/(E18+3),0)),0))</f>
        <v>1</v>
      </c>
      <c r="H18" s="56"/>
      <c r="M18" s="124" t="s">
        <v>14</v>
      </c>
      <c r="N18" s="124">
        <v>6500</v>
      </c>
    </row>
    <row r="19" spans="1:22" ht="17.25" thickBot="1">
      <c r="A19" s="52"/>
      <c r="B19" s="249" t="s">
        <v>118</v>
      </c>
      <c r="C19" s="250"/>
      <c r="D19" s="251"/>
      <c r="E19" s="107">
        <f>(C9-(3*50)-(4*35))/2</f>
        <v>455</v>
      </c>
      <c r="F19" s="108">
        <v>4</v>
      </c>
      <c r="G19" s="267"/>
      <c r="H19" s="56"/>
      <c r="M19" s="124" t="s">
        <v>12</v>
      </c>
      <c r="N19" s="124">
        <v>6500</v>
      </c>
    </row>
    <row r="20" spans="1:22" ht="17.25" thickBot="1">
      <c r="A20" s="52"/>
      <c r="B20" s="284" t="s">
        <v>174</v>
      </c>
      <c r="C20" s="285"/>
      <c r="D20" s="279" t="s">
        <v>12</v>
      </c>
      <c r="E20" s="114">
        <f>E9</f>
        <v>390</v>
      </c>
      <c r="F20" s="114">
        <v>2</v>
      </c>
      <c r="G20" s="308">
        <f>IF(((E22*F22)+(E20*F20)+(E21*F21)&lt;VLOOKUP(D20,M18:N22,2,FALSE)),ROUNDUP(((F22+F20+F21)/3)/(ROUNDDOWN(VLOOKUP(D20,M18:N22,2,FALSE)/(E22+E21+E20+9),0)),0),ROUNDUP(F22/(ROUNDDOWN(VLOOKUP(D20,M18:N22,2,FALSE)/(E22+3),0)),0)+ROUNDUP(F20/(ROUNDDOWN(VLOOKUP(D20,M18:N22,2,FALSE)/(E20+3),0)),0)+ROUNDUP(F21/(ROUNDDOWN(VLOOKUP(D20,M18:N22,2,FALSE)/(E21+3),0)),0))</f>
        <v>1</v>
      </c>
      <c r="H20" s="56"/>
      <c r="M20" s="124" t="s">
        <v>15</v>
      </c>
      <c r="N20" s="124">
        <v>6500</v>
      </c>
    </row>
    <row r="21" spans="1:22" ht="17.25" thickBot="1">
      <c r="A21" s="52"/>
      <c r="B21" s="249" t="s">
        <v>175</v>
      </c>
      <c r="C21" s="250"/>
      <c r="D21" s="279"/>
      <c r="E21" s="113">
        <f>E9-100</f>
        <v>290</v>
      </c>
      <c r="F21" s="113">
        <v>1</v>
      </c>
      <c r="G21" s="309"/>
      <c r="H21" s="56"/>
      <c r="M21" s="124" t="s">
        <v>11</v>
      </c>
      <c r="N21" s="124">
        <v>6500</v>
      </c>
    </row>
    <row r="22" spans="1:22" ht="17.25" thickBot="1">
      <c r="A22" s="52"/>
      <c r="B22" s="268" t="s">
        <v>89</v>
      </c>
      <c r="C22" s="269"/>
      <c r="D22" s="280"/>
      <c r="E22" s="113">
        <f>C9</f>
        <v>1200</v>
      </c>
      <c r="F22" s="113">
        <v>2</v>
      </c>
      <c r="G22" s="310"/>
      <c r="H22" s="56"/>
      <c r="M22" s="124" t="s">
        <v>10</v>
      </c>
      <c r="N22" s="124">
        <v>6500</v>
      </c>
    </row>
    <row r="23" spans="1:22" ht="17.25" thickBot="1">
      <c r="A23" s="52"/>
      <c r="B23" s="82" t="s">
        <v>77</v>
      </c>
      <c r="C23" s="83" t="str">
        <f>IF(B12=100,"100 x 16 x 1.2mm",IF(B12=65,"65 x 16 x 1.2mm",IF(B12=38,"38 x 16 x 1.6mm","")))</f>
        <v>38 x 16 x 1.6mm</v>
      </c>
      <c r="D23" s="112" t="str">
        <f>IF(B12=100,"EP12022",IF(B12=65,"EQ6823",IF(B12=38,"EP7822","")))</f>
        <v>EP7822</v>
      </c>
      <c r="E23" s="112">
        <f>(C9-(3*50)-(4*6))/2</f>
        <v>513</v>
      </c>
      <c r="F23" s="117">
        <f>2*C12</f>
        <v>12</v>
      </c>
      <c r="G23" s="118">
        <f>ROUNDUP(F23/(ROUNDDOWN(VLOOKUP(D23,M18:N22,2,FALSE)/(E23+3),0)),0)</f>
        <v>1</v>
      </c>
      <c r="H23" s="56"/>
    </row>
    <row r="24" spans="1:22" ht="18" thickTop="1" thickBot="1">
      <c r="A24" s="52"/>
      <c r="B24" s="80"/>
      <c r="C24" s="80"/>
      <c r="D24" s="78"/>
      <c r="E24" s="78"/>
      <c r="F24" s="78"/>
      <c r="G24" s="78"/>
      <c r="H24" s="56"/>
    </row>
    <row r="25" spans="1:22" ht="20.25" thickTop="1" thickBot="1">
      <c r="A25" s="52"/>
      <c r="B25" s="253" t="s">
        <v>78</v>
      </c>
      <c r="C25" s="254"/>
      <c r="D25" s="254"/>
      <c r="E25" s="254"/>
      <c r="F25" s="254"/>
      <c r="G25" s="255"/>
      <c r="H25" s="56"/>
    </row>
    <row r="26" spans="1:22" ht="18" thickTop="1" thickBot="1">
      <c r="A26" s="52"/>
      <c r="B26" s="256" t="s">
        <v>79</v>
      </c>
      <c r="C26" s="257"/>
      <c r="D26" s="109" t="s">
        <v>80</v>
      </c>
      <c r="E26" s="109" t="s">
        <v>81</v>
      </c>
      <c r="F26" s="263" t="s">
        <v>70</v>
      </c>
      <c r="G26" s="264"/>
      <c r="H26" s="56"/>
    </row>
    <row r="27" spans="1:22" ht="18" thickTop="1" thickBot="1">
      <c r="A27" s="52"/>
      <c r="B27" s="249" t="s">
        <v>84</v>
      </c>
      <c r="C27" s="250"/>
      <c r="D27" s="107">
        <v>317671</v>
      </c>
      <c r="E27" s="107" t="s">
        <v>83</v>
      </c>
      <c r="F27" s="251">
        <f>N16</f>
        <v>10</v>
      </c>
      <c r="G27" s="252"/>
      <c r="H27" s="56"/>
      <c r="T27" s="124">
        <f>E18*F18</f>
        <v>1160</v>
      </c>
      <c r="U27" s="124">
        <f>F20*E20</f>
        <v>780</v>
      </c>
    </row>
    <row r="28" spans="1:22" ht="17.25" thickBot="1">
      <c r="A28" s="52"/>
      <c r="B28" s="249" t="s">
        <v>85</v>
      </c>
      <c r="C28" s="250"/>
      <c r="D28" s="107">
        <v>317672</v>
      </c>
      <c r="E28" s="107" t="s">
        <v>83</v>
      </c>
      <c r="F28" s="251">
        <f>P16</f>
        <v>0</v>
      </c>
      <c r="G28" s="252"/>
      <c r="H28" s="56"/>
      <c r="T28" s="124">
        <f>E19*F19</f>
        <v>1820</v>
      </c>
      <c r="U28" s="124">
        <f>F21*E21</f>
        <v>290</v>
      </c>
    </row>
    <row r="29" spans="1:22" ht="17.25" thickBot="1">
      <c r="A29" s="52"/>
      <c r="B29" s="249" t="s">
        <v>176</v>
      </c>
      <c r="C29" s="250"/>
      <c r="D29" s="107">
        <v>317676</v>
      </c>
      <c r="E29" s="107" t="s">
        <v>83</v>
      </c>
      <c r="F29" s="260">
        <f>N12</f>
        <v>10</v>
      </c>
      <c r="G29" s="267"/>
      <c r="H29" s="56"/>
      <c r="U29" s="124">
        <f>E22*F22</f>
        <v>2400</v>
      </c>
    </row>
    <row r="30" spans="1:22" ht="17.25" thickBot="1">
      <c r="A30" s="52"/>
      <c r="B30" s="249" t="s">
        <v>177</v>
      </c>
      <c r="C30" s="250"/>
      <c r="D30" s="107">
        <v>301086</v>
      </c>
      <c r="E30" s="107" t="s">
        <v>83</v>
      </c>
      <c r="F30" s="260">
        <f>(MAX(4*(ROUNDUP((E18/300),0)+1),4))+(MAX(4*(ROUNDUP((E19/300),0)+1),4))</f>
        <v>20</v>
      </c>
      <c r="G30" s="267"/>
      <c r="H30" s="56"/>
      <c r="T30" s="124">
        <f>SUM(T27:T29)</f>
        <v>2980</v>
      </c>
      <c r="U30" s="124">
        <f>SUM(U27:U29)</f>
        <v>3470</v>
      </c>
    </row>
    <row r="31" spans="1:22" ht="17.25" thickBot="1">
      <c r="A31" s="52"/>
      <c r="B31" s="268" t="s">
        <v>91</v>
      </c>
      <c r="C31" s="269"/>
      <c r="D31" s="107">
        <v>726324</v>
      </c>
      <c r="E31" s="107" t="s">
        <v>83</v>
      </c>
      <c r="F31" s="270">
        <v>4</v>
      </c>
      <c r="G31" s="271"/>
      <c r="H31" s="56"/>
      <c r="T31" s="124">
        <f>T30/6500</f>
        <v>0.45846153846153848</v>
      </c>
      <c r="U31" s="124">
        <f>U30/6500</f>
        <v>0.53384615384615386</v>
      </c>
    </row>
    <row r="32" spans="1:22" s="46" customFormat="1" ht="17.25" thickBot="1">
      <c r="A32" s="52"/>
      <c r="B32" s="268" t="s">
        <v>178</v>
      </c>
      <c r="C32" s="269"/>
      <c r="D32" s="114">
        <v>301086</v>
      </c>
      <c r="E32" s="114" t="s">
        <v>83</v>
      </c>
      <c r="F32" s="270">
        <v>16</v>
      </c>
      <c r="G32" s="271"/>
      <c r="H32" s="56"/>
      <c r="I32" s="124"/>
      <c r="J32" s="124"/>
      <c r="K32" s="124"/>
      <c r="L32" s="124"/>
      <c r="M32" s="124"/>
      <c r="N32" s="124"/>
      <c r="O32" s="124"/>
      <c r="P32" s="124"/>
      <c r="Q32" s="124"/>
      <c r="R32" s="124"/>
      <c r="S32" s="124"/>
      <c r="T32" s="124"/>
      <c r="U32" s="124"/>
      <c r="V32" s="124"/>
    </row>
    <row r="33" spans="1:22" ht="17.25" thickBot="1">
      <c r="A33" s="52"/>
      <c r="B33" s="302" t="s">
        <v>115</v>
      </c>
      <c r="C33" s="303"/>
      <c r="D33" s="114">
        <v>301620</v>
      </c>
      <c r="E33" s="114" t="s">
        <v>83</v>
      </c>
      <c r="F33" s="304">
        <v>2</v>
      </c>
      <c r="G33" s="305"/>
      <c r="H33" s="56"/>
    </row>
    <row r="34" spans="1:22" ht="17.25" thickBot="1">
      <c r="A34" s="52"/>
      <c r="B34" s="268" t="s">
        <v>179</v>
      </c>
      <c r="C34" s="269"/>
      <c r="D34" s="112">
        <v>301086</v>
      </c>
      <c r="E34" s="112" t="s">
        <v>83</v>
      </c>
      <c r="F34" s="306">
        <v>6</v>
      </c>
      <c r="G34" s="307"/>
      <c r="H34" s="56"/>
    </row>
    <row r="35" spans="1:22" ht="17.25" thickBot="1">
      <c r="A35" s="52"/>
      <c r="B35" s="85"/>
      <c r="C35" s="85"/>
      <c r="D35" s="78"/>
      <c r="E35" s="78"/>
      <c r="F35" s="86"/>
      <c r="G35" s="86"/>
      <c r="H35" s="56"/>
    </row>
    <row r="36" spans="1:22" ht="20.25" thickTop="1" thickBot="1">
      <c r="A36" s="52"/>
      <c r="B36" s="253" t="s">
        <v>130</v>
      </c>
      <c r="C36" s="254"/>
      <c r="D36" s="254"/>
      <c r="E36" s="254"/>
      <c r="F36" s="254"/>
      <c r="G36" s="255"/>
      <c r="H36" s="56"/>
    </row>
    <row r="37" spans="1:22" ht="18" thickTop="1" thickBot="1">
      <c r="A37" s="52"/>
      <c r="B37" s="256" t="s">
        <v>125</v>
      </c>
      <c r="C37" s="257"/>
      <c r="D37" s="109" t="s">
        <v>126</v>
      </c>
      <c r="E37" s="109" t="s">
        <v>127</v>
      </c>
      <c r="F37" s="109" t="s">
        <v>70</v>
      </c>
      <c r="G37" s="110" t="s">
        <v>71</v>
      </c>
      <c r="H37" s="56"/>
    </row>
    <row r="38" spans="1:22" ht="18" thickTop="1" thickBot="1">
      <c r="A38" s="52"/>
      <c r="B38" s="258" t="s">
        <v>124</v>
      </c>
      <c r="C38" s="259"/>
      <c r="D38" s="111" t="s">
        <v>11</v>
      </c>
      <c r="E38" s="111">
        <f>E9-174</f>
        <v>216</v>
      </c>
      <c r="F38" s="81">
        <v>2</v>
      </c>
      <c r="G38" s="116">
        <f>ROUNDUP(F38/(ROUNDDOWN(VLOOKUP(D38,M18:N22,2,FALSE)/(E38+3),0)),0)</f>
        <v>1</v>
      </c>
      <c r="H38" s="56"/>
    </row>
    <row r="39" spans="1:22" ht="17.25" thickBot="1">
      <c r="A39" s="52"/>
      <c r="B39" s="249" t="s">
        <v>129</v>
      </c>
      <c r="C39" s="250"/>
      <c r="D39" s="107">
        <v>308945</v>
      </c>
      <c r="E39" s="107" t="s">
        <v>83</v>
      </c>
      <c r="F39" s="251">
        <v>4</v>
      </c>
      <c r="G39" s="252"/>
      <c r="H39" s="56"/>
    </row>
    <row r="40" spans="1:22" ht="17.25" thickBot="1">
      <c r="A40" s="52"/>
      <c r="B40" s="249" t="s">
        <v>128</v>
      </c>
      <c r="C40" s="250"/>
      <c r="D40" s="107">
        <v>301086</v>
      </c>
      <c r="E40" s="107" t="s">
        <v>83</v>
      </c>
      <c r="F40" s="251">
        <v>4</v>
      </c>
      <c r="G40" s="252"/>
      <c r="H40" s="56"/>
    </row>
    <row r="41" spans="1:22" s="46" customFormat="1" ht="17.25" thickBot="1">
      <c r="A41" s="52"/>
      <c r="B41" s="268" t="s">
        <v>132</v>
      </c>
      <c r="C41" s="269"/>
      <c r="D41" s="113">
        <v>317077</v>
      </c>
      <c r="E41" s="113" t="s">
        <v>131</v>
      </c>
      <c r="F41" s="276">
        <f>C12*4*20</f>
        <v>480</v>
      </c>
      <c r="G41" s="277"/>
      <c r="H41" s="56"/>
      <c r="I41" s="124"/>
      <c r="J41" s="124"/>
      <c r="K41" s="124"/>
      <c r="L41" s="124"/>
      <c r="M41" s="124"/>
      <c r="N41" s="124"/>
      <c r="O41" s="124"/>
      <c r="P41" s="124"/>
      <c r="Q41" s="124"/>
      <c r="R41" s="124"/>
      <c r="S41" s="124"/>
      <c r="T41" s="124"/>
      <c r="U41" s="124"/>
      <c r="V41" s="124"/>
    </row>
    <row r="42" spans="1:22" ht="17.25" thickBot="1">
      <c r="A42" s="52"/>
      <c r="B42" s="272" t="s">
        <v>86</v>
      </c>
      <c r="C42" s="273"/>
      <c r="D42" s="112">
        <v>309327</v>
      </c>
      <c r="E42" s="112" t="s">
        <v>83</v>
      </c>
      <c r="F42" s="274">
        <v>4</v>
      </c>
      <c r="G42" s="275"/>
      <c r="H42" s="56"/>
    </row>
    <row r="43" spans="1:22" ht="17.25" thickTop="1">
      <c r="A43" s="33"/>
      <c r="B43" s="36"/>
      <c r="C43" s="36"/>
      <c r="D43" s="10"/>
      <c r="E43" s="10"/>
      <c r="F43" s="10"/>
      <c r="G43" s="10"/>
      <c r="H43" s="34"/>
    </row>
    <row r="44" spans="1:22" ht="16.5">
      <c r="A44" s="33"/>
      <c r="B44" s="36"/>
      <c r="C44" s="36"/>
      <c r="D44" s="10"/>
      <c r="E44" s="10"/>
      <c r="F44" s="10"/>
      <c r="G44" s="11"/>
      <c r="H44" s="34"/>
    </row>
    <row r="45" spans="1:22" ht="16.5">
      <c r="A45" s="33"/>
      <c r="B45" s="36"/>
      <c r="C45" s="36"/>
      <c r="D45" s="10"/>
      <c r="E45" s="10"/>
      <c r="F45" s="10"/>
      <c r="G45" s="11"/>
      <c r="H45" s="37"/>
    </row>
    <row r="46" spans="1:22" ht="15" customHeight="1">
      <c r="A46" s="38"/>
      <c r="B46" s="39"/>
      <c r="C46" s="39"/>
      <c r="D46" s="35"/>
      <c r="E46" s="35"/>
      <c r="F46" s="35"/>
      <c r="G46" s="11"/>
      <c r="H46" s="37"/>
    </row>
    <row r="47" spans="1:22" ht="15" customHeight="1">
      <c r="A47" s="38"/>
      <c r="B47" s="39"/>
      <c r="C47" s="39"/>
      <c r="D47" s="35"/>
      <c r="E47" s="35"/>
      <c r="F47" s="35"/>
      <c r="G47" s="11"/>
      <c r="H47" s="37"/>
    </row>
    <row r="48" spans="1:22" ht="15" customHeight="1">
      <c r="A48" s="38"/>
      <c r="B48" s="39"/>
      <c r="C48" s="39"/>
      <c r="D48" s="35"/>
      <c r="E48" s="35"/>
      <c r="F48" s="35"/>
      <c r="G48" s="11"/>
      <c r="H48" s="37"/>
    </row>
    <row r="49" spans="1:8" ht="15" customHeight="1">
      <c r="A49" s="38"/>
      <c r="B49" s="39"/>
      <c r="C49" s="39"/>
      <c r="D49" s="35"/>
      <c r="E49" s="35"/>
      <c r="F49" s="35"/>
      <c r="G49" s="11"/>
      <c r="H49" s="37"/>
    </row>
    <row r="50" spans="1:8" ht="15" customHeight="1">
      <c r="A50" s="38"/>
      <c r="B50" s="39"/>
      <c r="C50" s="39"/>
      <c r="D50" s="35"/>
      <c r="E50" s="35"/>
      <c r="F50" s="35"/>
      <c r="G50" s="11"/>
      <c r="H50" s="37"/>
    </row>
    <row r="51" spans="1:8" ht="15" customHeight="1">
      <c r="A51" s="38"/>
      <c r="B51" s="39"/>
      <c r="C51" s="39"/>
      <c r="D51" s="35"/>
      <c r="E51" s="35"/>
      <c r="F51" s="35"/>
      <c r="G51" s="11"/>
      <c r="H51" s="37"/>
    </row>
    <row r="52" spans="1:8" ht="15" customHeight="1">
      <c r="A52" s="38"/>
      <c r="B52" s="39"/>
      <c r="C52" s="39"/>
      <c r="D52" s="35"/>
      <c r="E52" s="35"/>
      <c r="F52" s="35"/>
      <c r="G52" s="11"/>
      <c r="H52" s="37"/>
    </row>
    <row r="53" spans="1:8" ht="15" customHeight="1">
      <c r="A53" s="38"/>
      <c r="B53" s="39"/>
      <c r="C53" s="39"/>
      <c r="D53" s="35"/>
      <c r="E53" s="35"/>
      <c r="F53" s="35"/>
      <c r="G53" s="11"/>
      <c r="H53" s="37"/>
    </row>
    <row r="54" spans="1:8" ht="15" customHeight="1">
      <c r="A54" s="38"/>
      <c r="B54" s="39"/>
      <c r="C54" s="39"/>
      <c r="D54" s="35"/>
      <c r="E54" s="35"/>
      <c r="F54" s="35"/>
      <c r="G54" s="11"/>
      <c r="H54" s="37"/>
    </row>
    <row r="55" spans="1:8" ht="15" customHeight="1">
      <c r="A55" s="38"/>
      <c r="B55" s="39"/>
      <c r="C55" s="39"/>
      <c r="D55" s="35"/>
      <c r="E55" s="35"/>
      <c r="F55" s="35"/>
      <c r="G55" s="11"/>
      <c r="H55" s="37"/>
    </row>
    <row r="56" spans="1:8" ht="15" customHeight="1">
      <c r="A56" s="38"/>
      <c r="B56" s="39"/>
      <c r="C56" s="39"/>
      <c r="D56" s="35"/>
      <c r="E56" s="35"/>
      <c r="F56" s="35"/>
      <c r="G56" s="11"/>
      <c r="H56" s="37"/>
    </row>
    <row r="57" spans="1:8" ht="15" customHeight="1">
      <c r="A57" s="38"/>
      <c r="B57" s="39"/>
      <c r="C57" s="39"/>
      <c r="D57" s="35"/>
      <c r="E57" s="35"/>
      <c r="F57" s="35"/>
      <c r="G57" s="11"/>
      <c r="H57" s="37"/>
    </row>
    <row r="58" spans="1:8" ht="15" customHeight="1">
      <c r="A58" s="38"/>
      <c r="B58" s="39"/>
      <c r="C58" s="39"/>
      <c r="D58" s="35"/>
      <c r="E58" s="35"/>
      <c r="F58" s="35"/>
      <c r="G58" s="11"/>
      <c r="H58" s="37"/>
    </row>
    <row r="59" spans="1:8" ht="15" customHeight="1">
      <c r="A59" s="38"/>
      <c r="B59" s="39"/>
      <c r="C59" s="39"/>
      <c r="D59" s="35"/>
      <c r="E59" s="35"/>
      <c r="F59" s="35"/>
      <c r="G59" s="11"/>
      <c r="H59" s="37"/>
    </row>
    <row r="60" spans="1:8" ht="15" customHeight="1">
      <c r="A60" s="38"/>
      <c r="B60" s="39"/>
      <c r="C60" s="39"/>
      <c r="D60" s="35"/>
      <c r="E60" s="35"/>
      <c r="F60" s="35"/>
      <c r="G60" s="11"/>
      <c r="H60" s="37"/>
    </row>
    <row r="61" spans="1:8" ht="15" customHeight="1">
      <c r="A61" s="38"/>
      <c r="B61" s="39"/>
      <c r="C61" s="39"/>
      <c r="D61" s="35"/>
      <c r="E61" s="35"/>
      <c r="F61" s="35"/>
      <c r="G61" s="11"/>
      <c r="H61" s="37"/>
    </row>
    <row r="62" spans="1:8" ht="15" customHeight="1">
      <c r="A62" s="38"/>
      <c r="B62" s="39"/>
      <c r="C62" s="39"/>
      <c r="D62" s="35"/>
      <c r="E62" s="35"/>
      <c r="F62" s="35"/>
      <c r="G62" s="11"/>
      <c r="H62" s="37"/>
    </row>
    <row r="63" spans="1:8" ht="15" customHeight="1">
      <c r="A63" s="38"/>
      <c r="B63" s="39"/>
      <c r="C63" s="39"/>
      <c r="D63" s="35"/>
      <c r="E63" s="35"/>
      <c r="F63" s="35"/>
      <c r="G63" s="11"/>
      <c r="H63" s="37"/>
    </row>
    <row r="64" spans="1:8">
      <c r="A64" s="38"/>
      <c r="B64" s="182" t="s">
        <v>160</v>
      </c>
      <c r="C64" s="234"/>
      <c r="D64" s="234"/>
      <c r="E64" s="234"/>
      <c r="F64" s="234"/>
      <c r="G64" s="234"/>
      <c r="H64" s="37"/>
    </row>
    <row r="65" spans="1:22">
      <c r="A65" s="38"/>
      <c r="B65" s="234"/>
      <c r="C65" s="234"/>
      <c r="D65" s="234"/>
      <c r="E65" s="234"/>
      <c r="F65" s="234"/>
      <c r="G65" s="234"/>
      <c r="H65" s="37"/>
    </row>
    <row r="66" spans="1:22" s="46" customFormat="1">
      <c r="A66" s="38"/>
      <c r="B66" s="234"/>
      <c r="C66" s="234"/>
      <c r="D66" s="234"/>
      <c r="E66" s="234"/>
      <c r="F66" s="234"/>
      <c r="G66" s="234"/>
      <c r="H66" s="37"/>
      <c r="I66" s="124"/>
      <c r="J66" s="124"/>
      <c r="K66" s="124"/>
      <c r="L66" s="124"/>
      <c r="M66" s="124"/>
      <c r="N66" s="124"/>
      <c r="O66" s="124"/>
      <c r="P66" s="124"/>
      <c r="Q66" s="124"/>
      <c r="R66" s="124"/>
      <c r="S66" s="124"/>
      <c r="T66" s="124"/>
      <c r="U66" s="124"/>
      <c r="V66" s="124"/>
    </row>
    <row r="67" spans="1:22" ht="15.75" thickBot="1">
      <c r="A67" s="40"/>
      <c r="B67" s="41"/>
      <c r="C67" s="41"/>
      <c r="D67" s="42"/>
      <c r="E67" s="42"/>
      <c r="F67" s="42"/>
      <c r="G67" s="42"/>
      <c r="H67" s="43"/>
    </row>
    <row r="68" spans="1:22" ht="15.75" thickTop="1">
      <c r="A68" s="39"/>
      <c r="B68" s="39"/>
      <c r="C68" s="39"/>
      <c r="D68" s="35"/>
      <c r="E68" s="35"/>
      <c r="F68" s="35"/>
      <c r="G68" s="35"/>
      <c r="H68" s="39"/>
    </row>
    <row r="69" spans="1:22">
      <c r="A69" s="39"/>
      <c r="B69" s="39"/>
      <c r="C69" s="39"/>
      <c r="D69" s="35"/>
      <c r="E69" s="35"/>
      <c r="F69" s="35"/>
      <c r="G69" s="35"/>
      <c r="H69" s="39"/>
    </row>
  </sheetData>
  <sheetProtection password="DE70" sheet="1" objects="1" scenarios="1"/>
  <mergeCells count="48">
    <mergeCell ref="B31:C31"/>
    <mergeCell ref="F31:G31"/>
    <mergeCell ref="B32:C32"/>
    <mergeCell ref="F32:G32"/>
    <mergeCell ref="B28:C28"/>
    <mergeCell ref="F28:G28"/>
    <mergeCell ref="B29:C29"/>
    <mergeCell ref="F29:G29"/>
    <mergeCell ref="B30:C30"/>
    <mergeCell ref="F30:G30"/>
    <mergeCell ref="B64:G66"/>
    <mergeCell ref="B33:C33"/>
    <mergeCell ref="F33:G33"/>
    <mergeCell ref="B34:C34"/>
    <mergeCell ref="F34:G34"/>
    <mergeCell ref="B36:G36"/>
    <mergeCell ref="B37:C37"/>
    <mergeCell ref="B38:C38"/>
    <mergeCell ref="B39:C39"/>
    <mergeCell ref="F39:G39"/>
    <mergeCell ref="B40:C40"/>
    <mergeCell ref="F40:G40"/>
    <mergeCell ref="B41:C41"/>
    <mergeCell ref="F41:G41"/>
    <mergeCell ref="B42:C42"/>
    <mergeCell ref="F42:G42"/>
    <mergeCell ref="B26:C26"/>
    <mergeCell ref="F26:G26"/>
    <mergeCell ref="B27:C27"/>
    <mergeCell ref="F27:G27"/>
    <mergeCell ref="B25:G25"/>
    <mergeCell ref="A5:H5"/>
    <mergeCell ref="A1:H2"/>
    <mergeCell ref="A3:C3"/>
    <mergeCell ref="D3:H3"/>
    <mergeCell ref="A4:C4"/>
    <mergeCell ref="D4:H4"/>
    <mergeCell ref="B16:G16"/>
    <mergeCell ref="B17:C17"/>
    <mergeCell ref="B18:C18"/>
    <mergeCell ref="B20:C20"/>
    <mergeCell ref="D20:D22"/>
    <mergeCell ref="G20:G22"/>
    <mergeCell ref="B21:C21"/>
    <mergeCell ref="B22:C22"/>
    <mergeCell ref="B19:C19"/>
    <mergeCell ref="D18:D19"/>
    <mergeCell ref="G18:G19"/>
  </mergeCells>
  <dataValidations count="4">
    <dataValidation type="list" allowBlank="1" showInputMessage="1" showErrorMessage="1" sqref="E12:F12">
      <formula1>$M$7:$M$9</formula1>
    </dataValidation>
    <dataValidation type="list" allowBlank="1" showInputMessage="1" showErrorMessage="1" sqref="D12">
      <formula1>$M$7:$M$8</formula1>
    </dataValidation>
    <dataValidation type="list" allowBlank="1" showInputMessage="1" showErrorMessage="1" sqref="D13:F13">
      <formula1>SpH</formula1>
    </dataValidation>
    <dataValidation type="list" allowBlank="1" showInputMessage="1" showErrorMessage="1" sqref="B12:B13">
      <formula1>$O$7:$O$9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1.1 - Aug, 17&amp;R&amp;A</oddFooter>
  </headerFooter>
  <drawing r:id="rId2"/>
</worksheet>
</file>

<file path=xl/worksheets/sheet13.xml><?xml version="1.0" encoding="utf-8"?>
<worksheet xmlns="http://schemas.openxmlformats.org/spreadsheetml/2006/main" xmlns:r="http://schemas.openxmlformats.org/officeDocument/2006/relationships">
  <dimension ref="A1:Y68"/>
  <sheetViews>
    <sheetView showGridLines="0" showWhiteSpace="0" view="pageLayout" zoomScaleNormal="100" zoomScaleSheetLayoutView="100" workbookViewId="0">
      <selection activeCell="G11" sqref="G11"/>
    </sheetView>
  </sheetViews>
  <sheetFormatPr defaultColWidth="9.125" defaultRowHeight="15"/>
  <cols>
    <col min="1" max="1" width="1.375" style="46" customWidth="1"/>
    <col min="2" max="3" width="24.625" style="46" customWidth="1"/>
    <col min="4" max="7" width="24.625" style="12" customWidth="1"/>
    <col min="8" max="8" width="1.375" style="46" customWidth="1"/>
    <col min="9" max="9" width="4.25" style="124" customWidth="1"/>
    <col min="10" max="10" width="2.375" style="124" customWidth="1"/>
    <col min="11" max="11" width="2.875" style="124" customWidth="1"/>
    <col min="12" max="12" width="3.625" style="124" customWidth="1"/>
    <col min="13" max="13" width="15" style="124" customWidth="1"/>
    <col min="14" max="14" width="9" style="164" customWidth="1"/>
    <col min="15" max="15" width="15" style="164" customWidth="1"/>
    <col min="16" max="16" width="20.125" style="124" customWidth="1"/>
    <col min="17" max="23" width="9.125" style="124"/>
    <col min="24" max="16384" width="9.125" style="46"/>
  </cols>
  <sheetData>
    <row r="1" spans="1:25" ht="16.5" thickTop="1" thickBot="1">
      <c r="A1" s="221"/>
      <c r="B1" s="222"/>
      <c r="C1" s="222"/>
      <c r="D1" s="222"/>
      <c r="E1" s="222"/>
      <c r="F1" s="222"/>
      <c r="G1" s="222"/>
      <c r="H1" s="238"/>
      <c r="L1" s="176"/>
      <c r="M1" s="176"/>
      <c r="N1" s="176"/>
      <c r="O1" s="176"/>
      <c r="P1" s="176"/>
      <c r="Q1" s="176"/>
      <c r="R1" s="176"/>
      <c r="S1" s="176"/>
      <c r="T1" s="176"/>
      <c r="U1" s="176"/>
      <c r="V1" s="176"/>
      <c r="W1" s="176"/>
      <c r="X1" s="176"/>
      <c r="Y1" s="176"/>
    </row>
    <row r="2" spans="1:25" ht="111.75" customHeight="1" thickBot="1">
      <c r="A2" s="223"/>
      <c r="B2" s="224"/>
      <c r="C2" s="224"/>
      <c r="D2" s="224"/>
      <c r="E2" s="224"/>
      <c r="F2" s="224"/>
      <c r="G2" s="224"/>
      <c r="H2" s="239"/>
      <c r="L2" s="176"/>
      <c r="M2" s="176"/>
      <c r="N2" s="176"/>
      <c r="O2" s="176"/>
      <c r="P2" s="176"/>
      <c r="Q2" s="176"/>
      <c r="R2" s="176"/>
      <c r="S2" s="176"/>
      <c r="T2" s="176"/>
      <c r="U2" s="176"/>
      <c r="V2" s="176"/>
      <c r="W2" s="176"/>
      <c r="X2" s="176"/>
      <c r="Y2" s="176"/>
    </row>
    <row r="3" spans="1:25" ht="41.25" customHeight="1" thickBot="1">
      <c r="A3" s="240" t="s">
        <v>152</v>
      </c>
      <c r="B3" s="241"/>
      <c r="C3" s="241"/>
      <c r="D3" s="242" t="s">
        <v>151</v>
      </c>
      <c r="E3" s="243"/>
      <c r="F3" s="243"/>
      <c r="G3" s="243"/>
      <c r="H3" s="244"/>
      <c r="L3" s="176"/>
      <c r="M3" s="176"/>
      <c r="N3" s="176"/>
      <c r="O3" s="176"/>
      <c r="P3" s="176"/>
      <c r="Q3" s="176"/>
      <c r="R3" s="176"/>
      <c r="S3" s="176"/>
      <c r="T3" s="176"/>
      <c r="U3" s="176"/>
      <c r="V3" s="176"/>
      <c r="W3" s="176"/>
      <c r="X3" s="176"/>
      <c r="Y3" s="176"/>
    </row>
    <row r="4" spans="1:25" ht="75" customHeight="1" thickBot="1">
      <c r="A4" s="245" t="s">
        <v>153</v>
      </c>
      <c r="B4" s="246"/>
      <c r="C4" s="247"/>
      <c r="D4" s="241" t="s">
        <v>154</v>
      </c>
      <c r="E4" s="241"/>
      <c r="F4" s="241"/>
      <c r="G4" s="241"/>
      <c r="H4" s="248"/>
      <c r="L4" s="176"/>
      <c r="M4" s="176"/>
      <c r="N4" s="176"/>
      <c r="O4" s="176"/>
      <c r="P4" s="176"/>
      <c r="Q4" s="176"/>
      <c r="R4" s="176"/>
      <c r="S4" s="176"/>
      <c r="T4" s="176"/>
      <c r="U4" s="176"/>
      <c r="V4" s="176"/>
      <c r="W4" s="176"/>
      <c r="X4" s="176"/>
      <c r="Y4" s="176"/>
    </row>
    <row r="5" spans="1:25" ht="37.5" customHeight="1" thickTop="1" thickBot="1">
      <c r="A5" s="235" t="s">
        <v>195</v>
      </c>
      <c r="B5" s="236"/>
      <c r="C5" s="236"/>
      <c r="D5" s="236"/>
      <c r="E5" s="236"/>
      <c r="F5" s="236"/>
      <c r="G5" s="236"/>
      <c r="H5" s="237"/>
      <c r="L5" s="176"/>
      <c r="M5" s="176"/>
      <c r="N5" s="176"/>
      <c r="O5" s="176"/>
      <c r="P5" s="176"/>
      <c r="Q5" s="176"/>
      <c r="R5" s="176"/>
      <c r="S5" s="176"/>
      <c r="T5" s="176"/>
      <c r="U5" s="176"/>
      <c r="V5" s="176"/>
      <c r="W5" s="176"/>
      <c r="X5" s="176"/>
      <c r="Y5" s="176"/>
    </row>
    <row r="6" spans="1:25" ht="18" thickTop="1" thickBot="1">
      <c r="A6" s="48"/>
      <c r="B6" s="49"/>
      <c r="C6" s="49"/>
      <c r="D6" s="50"/>
      <c r="E6" s="50"/>
      <c r="F6" s="50"/>
      <c r="G6" s="50"/>
      <c r="H6" s="51"/>
      <c r="M6" s="124" t="s">
        <v>53</v>
      </c>
      <c r="N6" s="124"/>
      <c r="O6" s="124"/>
      <c r="R6" s="176"/>
      <c r="S6" s="176"/>
      <c r="T6" s="176"/>
      <c r="U6" s="176"/>
      <c r="V6" s="176"/>
      <c r="W6" s="176"/>
      <c r="X6" s="176"/>
      <c r="Y6" s="176"/>
    </row>
    <row r="7" spans="1:25" ht="18" thickTop="1" thickBot="1">
      <c r="A7" s="52"/>
      <c r="B7" s="53" t="s">
        <v>90</v>
      </c>
      <c r="C7" s="32">
        <v>1560</v>
      </c>
      <c r="D7" s="54" t="s">
        <v>92</v>
      </c>
      <c r="E7" s="32">
        <v>1000</v>
      </c>
      <c r="F7" s="54" t="s">
        <v>62</v>
      </c>
      <c r="G7" s="87">
        <v>1</v>
      </c>
      <c r="H7" s="56"/>
      <c r="M7" s="124">
        <v>10</v>
      </c>
      <c r="N7" s="124"/>
      <c r="O7" s="124"/>
      <c r="R7" s="176"/>
      <c r="S7" s="176"/>
      <c r="T7" s="176"/>
      <c r="U7" s="176"/>
      <c r="V7" s="176"/>
      <c r="W7" s="176"/>
      <c r="X7" s="176"/>
      <c r="Y7" s="176"/>
    </row>
    <row r="8" spans="1:25" ht="18" thickTop="1" thickBot="1">
      <c r="A8" s="57"/>
      <c r="B8" s="90"/>
      <c r="C8" s="91"/>
      <c r="D8" s="60"/>
      <c r="E8" s="61"/>
      <c r="F8" s="62"/>
      <c r="G8" s="63">
        <v>3</v>
      </c>
      <c r="H8" s="56"/>
      <c r="M8" s="124">
        <v>20</v>
      </c>
      <c r="N8" s="124"/>
      <c r="O8" s="124"/>
      <c r="R8" s="176"/>
      <c r="S8" s="176"/>
      <c r="T8" s="176"/>
      <c r="U8" s="176"/>
      <c r="V8" s="176"/>
      <c r="W8" s="176"/>
      <c r="X8" s="176"/>
      <c r="Y8" s="176"/>
    </row>
    <row r="9" spans="1:25" ht="18" thickTop="1" thickBot="1">
      <c r="A9" s="57"/>
      <c r="B9" s="69" t="s">
        <v>57</v>
      </c>
      <c r="C9" s="69" t="s">
        <v>58</v>
      </c>
      <c r="D9" s="69" t="s">
        <v>59</v>
      </c>
      <c r="E9" s="70" t="s">
        <v>60</v>
      </c>
      <c r="F9" s="54" t="s">
        <v>61</v>
      </c>
      <c r="G9" s="94" t="s">
        <v>56</v>
      </c>
      <c r="H9" s="56"/>
      <c r="I9" s="170"/>
      <c r="J9" s="170"/>
      <c r="K9" s="170"/>
      <c r="L9" s="170"/>
      <c r="M9" s="170"/>
      <c r="N9" s="170"/>
      <c r="O9" s="170"/>
      <c r="P9" s="170"/>
      <c r="Q9" s="170"/>
      <c r="R9" s="313"/>
      <c r="S9" s="313"/>
      <c r="T9" s="313"/>
      <c r="U9" s="313"/>
      <c r="V9" s="313"/>
      <c r="W9" s="176"/>
      <c r="X9" s="176"/>
      <c r="Y9" s="176"/>
    </row>
    <row r="10" spans="1:25" ht="18" thickTop="1" thickBot="1">
      <c r="A10" s="57"/>
      <c r="B10" s="30">
        <v>20</v>
      </c>
      <c r="C10" s="30">
        <v>10</v>
      </c>
      <c r="D10" s="30"/>
      <c r="E10" s="71">
        <f>B10+C10+D10</f>
        <v>30</v>
      </c>
      <c r="F10" s="77">
        <f>(E7-45)/(50+E10)</f>
        <v>11.9375</v>
      </c>
      <c r="G10" s="47">
        <v>12</v>
      </c>
      <c r="H10" s="56"/>
      <c r="I10" s="170"/>
      <c r="J10" s="170"/>
      <c r="K10" s="170"/>
      <c r="L10" s="170"/>
      <c r="M10" s="170"/>
      <c r="N10" s="170"/>
      <c r="O10" s="170"/>
      <c r="P10" s="170"/>
      <c r="Q10" s="170"/>
      <c r="R10" s="313"/>
      <c r="S10" s="313"/>
      <c r="T10" s="313"/>
      <c r="U10" s="313"/>
      <c r="V10" s="313"/>
      <c r="W10" s="176"/>
      <c r="X10" s="176"/>
      <c r="Y10" s="176"/>
    </row>
    <row r="11" spans="1:25" ht="18" thickTop="1" thickBot="1">
      <c r="A11" s="57"/>
      <c r="B11" s="90"/>
      <c r="C11" s="91"/>
      <c r="D11" s="60"/>
      <c r="E11" s="61"/>
      <c r="F11" s="62"/>
      <c r="G11" s="63"/>
      <c r="H11" s="56"/>
      <c r="I11" s="170"/>
      <c r="J11" s="170"/>
      <c r="K11" s="170"/>
      <c r="L11" s="170"/>
      <c r="M11" s="170"/>
      <c r="N11" s="170"/>
      <c r="O11" s="170"/>
      <c r="P11" s="170"/>
      <c r="Q11" s="170"/>
      <c r="R11" s="313"/>
      <c r="S11" s="313"/>
      <c r="T11" s="313"/>
      <c r="U11" s="313"/>
      <c r="V11" s="313"/>
      <c r="W11" s="176"/>
      <c r="X11" s="176"/>
      <c r="Y11" s="176"/>
    </row>
    <row r="12" spans="1:25" ht="30" thickTop="1" thickBot="1">
      <c r="A12" s="105"/>
      <c r="B12" s="104" t="s">
        <v>161</v>
      </c>
      <c r="C12" s="64">
        <f>C7*G7+(G7*50+50)</f>
        <v>1660</v>
      </c>
      <c r="D12" s="104" t="s">
        <v>164</v>
      </c>
      <c r="E12" s="64">
        <f>(54.5*G10)+(E10*(G10-1))+45</f>
        <v>1029</v>
      </c>
      <c r="F12" s="104" t="s">
        <v>165</v>
      </c>
      <c r="G12" s="64">
        <f>(54.5*G10)+(E10*(G10-1))+45+58</f>
        <v>1087</v>
      </c>
      <c r="H12" s="56"/>
      <c r="I12" s="170"/>
      <c r="J12" s="170"/>
      <c r="K12" s="170"/>
      <c r="L12" s="170"/>
      <c r="M12" s="170" t="s">
        <v>63</v>
      </c>
      <c r="N12" s="171">
        <f>(G10-1)*2</f>
        <v>22</v>
      </c>
      <c r="O12" s="170"/>
      <c r="P12" s="170"/>
      <c r="Q12" s="170"/>
      <c r="R12" s="313"/>
      <c r="S12" s="313"/>
      <c r="T12" s="313"/>
      <c r="U12" s="313"/>
      <c r="V12" s="313"/>
      <c r="W12" s="176"/>
      <c r="X12" s="176"/>
      <c r="Y12" s="176"/>
    </row>
    <row r="13" spans="1:25" ht="18" thickTop="1" thickBot="1">
      <c r="A13" s="52"/>
      <c r="B13" s="102" t="s">
        <v>158</v>
      </c>
      <c r="C13" s="66"/>
      <c r="D13" s="65"/>
      <c r="E13" s="101" t="s">
        <v>157</v>
      </c>
      <c r="F13" s="100"/>
      <c r="G13" s="99" t="s">
        <v>157</v>
      </c>
      <c r="H13" s="56"/>
      <c r="I13" s="170"/>
      <c r="J13" s="170"/>
      <c r="K13" s="170"/>
      <c r="L13" s="170"/>
      <c r="M13" s="170" t="s">
        <v>64</v>
      </c>
      <c r="N13" s="170" t="str">
        <f>IF(B10=10,N12,"")</f>
        <v/>
      </c>
      <c r="O13" s="170" t="s">
        <v>65</v>
      </c>
      <c r="P13" s="170">
        <f>IF(B10=20,N12,"")</f>
        <v>22</v>
      </c>
      <c r="Q13" s="170"/>
      <c r="R13" s="313"/>
      <c r="S13" s="313"/>
      <c r="T13" s="313"/>
      <c r="U13" s="313"/>
      <c r="V13" s="313"/>
      <c r="W13" s="176"/>
      <c r="X13" s="176"/>
      <c r="Y13" s="176"/>
    </row>
    <row r="14" spans="1:25" ht="20.25" thickTop="1" thickBot="1">
      <c r="A14" s="52"/>
      <c r="B14" s="253" t="s">
        <v>66</v>
      </c>
      <c r="C14" s="254"/>
      <c r="D14" s="254"/>
      <c r="E14" s="254"/>
      <c r="F14" s="254"/>
      <c r="G14" s="255"/>
      <c r="H14" s="56"/>
      <c r="I14" s="170"/>
      <c r="J14" s="170"/>
      <c r="K14" s="170"/>
      <c r="L14" s="170"/>
      <c r="M14" s="170" t="s">
        <v>67</v>
      </c>
      <c r="N14" s="170">
        <f>IF(C10=10,N12,"")</f>
        <v>22</v>
      </c>
      <c r="O14" s="170" t="s">
        <v>68</v>
      </c>
      <c r="P14" s="170" t="str">
        <f>IF(C10=20,N12,"")</f>
        <v/>
      </c>
      <c r="Q14" s="170"/>
      <c r="R14" s="313"/>
      <c r="S14" s="313"/>
      <c r="T14" s="313"/>
      <c r="U14" s="313"/>
      <c r="V14" s="313"/>
      <c r="W14" s="176"/>
      <c r="X14" s="176"/>
      <c r="Y14" s="176"/>
    </row>
    <row r="15" spans="1:25" ht="18" thickTop="1" thickBot="1">
      <c r="A15" s="52"/>
      <c r="B15" s="256" t="s">
        <v>47</v>
      </c>
      <c r="C15" s="257"/>
      <c r="D15" s="109" t="s">
        <v>69</v>
      </c>
      <c r="E15" s="109" t="s">
        <v>1</v>
      </c>
      <c r="F15" s="109" t="s">
        <v>70</v>
      </c>
      <c r="G15" s="110" t="s">
        <v>71</v>
      </c>
      <c r="H15" s="56"/>
      <c r="I15" s="170"/>
      <c r="J15" s="170"/>
      <c r="K15" s="170"/>
      <c r="L15" s="170"/>
      <c r="M15" s="170" t="s">
        <v>72</v>
      </c>
      <c r="N15" s="170" t="str">
        <f>IF(D10=10,N12,"")</f>
        <v/>
      </c>
      <c r="O15" s="170" t="s">
        <v>73</v>
      </c>
      <c r="P15" s="170" t="str">
        <f>IF(D10=20,N12,"")</f>
        <v/>
      </c>
      <c r="Q15" s="170"/>
      <c r="R15" s="313"/>
      <c r="S15" s="313"/>
      <c r="T15" s="313"/>
      <c r="U15" s="313"/>
      <c r="V15" s="313"/>
      <c r="W15" s="176"/>
      <c r="X15" s="176"/>
      <c r="Y15" s="176"/>
    </row>
    <row r="16" spans="1:25" ht="18" thickTop="1" thickBot="1">
      <c r="A16" s="52"/>
      <c r="B16" s="258" t="s">
        <v>74</v>
      </c>
      <c r="C16" s="259"/>
      <c r="D16" s="111" t="s">
        <v>14</v>
      </c>
      <c r="E16" s="111">
        <f>E12-5</f>
        <v>1024</v>
      </c>
      <c r="F16" s="81">
        <f>2*G7</f>
        <v>2</v>
      </c>
      <c r="G16" s="116">
        <f>ROUNDUP(F16/(ROUNDDOWN(VLOOKUP(D16,N23:O25,2,FALSE)/(E16+3),0)),0)</f>
        <v>1</v>
      </c>
      <c r="H16" s="56"/>
      <c r="I16" s="170"/>
      <c r="J16" s="170"/>
      <c r="K16" s="170"/>
      <c r="L16" s="170"/>
      <c r="M16" s="170"/>
      <c r="N16" s="170"/>
      <c r="O16" s="170"/>
      <c r="P16" s="170"/>
      <c r="Q16" s="170"/>
      <c r="R16" s="313"/>
      <c r="S16" s="313"/>
      <c r="T16" s="313"/>
      <c r="U16" s="313"/>
      <c r="V16" s="313"/>
      <c r="W16" s="176"/>
      <c r="X16" s="176"/>
      <c r="Y16" s="176"/>
    </row>
    <row r="17" spans="1:25" ht="17.25" thickBot="1">
      <c r="A17" s="52"/>
      <c r="B17" s="249" t="s">
        <v>155</v>
      </c>
      <c r="C17" s="250"/>
      <c r="D17" s="251" t="s">
        <v>12</v>
      </c>
      <c r="E17" s="107">
        <f>E12</f>
        <v>1029</v>
      </c>
      <c r="F17" s="260">
        <f>G7+1</f>
        <v>2</v>
      </c>
      <c r="G17" s="261">
        <f>ROUNDUP(F17/(ROUNDDOWN(VLOOKUP(D17,N23:O25,2,FALSE)/(E18+3),0)),0)</f>
        <v>1</v>
      </c>
      <c r="H17" s="56"/>
      <c r="I17" s="170"/>
      <c r="J17" s="170"/>
      <c r="K17" s="170"/>
      <c r="L17" s="170"/>
      <c r="M17" s="170" t="s">
        <v>75</v>
      </c>
      <c r="N17" s="170">
        <f>SUM(N13:N15)</f>
        <v>22</v>
      </c>
      <c r="O17" s="170" t="s">
        <v>210</v>
      </c>
      <c r="P17" s="170">
        <f>SUM(P13:P15)</f>
        <v>22</v>
      </c>
      <c r="Q17" s="170"/>
      <c r="R17" s="313"/>
      <c r="S17" s="313"/>
      <c r="T17" s="313"/>
      <c r="U17" s="313"/>
      <c r="V17" s="313"/>
      <c r="W17" s="176"/>
      <c r="X17" s="176"/>
      <c r="Y17" s="176"/>
    </row>
    <row r="18" spans="1:25" ht="17.25" thickBot="1">
      <c r="A18" s="52"/>
      <c r="B18" s="249" t="s">
        <v>156</v>
      </c>
      <c r="C18" s="250"/>
      <c r="D18" s="251"/>
      <c r="E18" s="107">
        <f>G12-8</f>
        <v>1079</v>
      </c>
      <c r="F18" s="251"/>
      <c r="G18" s="262"/>
      <c r="H18" s="56"/>
      <c r="I18" s="170"/>
      <c r="J18" s="170"/>
      <c r="K18" s="170"/>
      <c r="L18" s="170"/>
      <c r="M18" s="170"/>
      <c r="N18" s="170"/>
      <c r="O18" s="170"/>
      <c r="P18" s="170"/>
      <c r="Q18" s="170"/>
      <c r="R18" s="313"/>
      <c r="S18" s="313"/>
      <c r="T18" s="313"/>
      <c r="U18" s="313"/>
      <c r="V18" s="313"/>
      <c r="W18" s="176"/>
      <c r="X18" s="176"/>
      <c r="Y18" s="176"/>
    </row>
    <row r="19" spans="1:25" ht="17.25" thickBot="1">
      <c r="A19" s="52"/>
      <c r="B19" s="95" t="s">
        <v>124</v>
      </c>
      <c r="C19" s="96"/>
      <c r="D19" s="154" t="s">
        <v>11</v>
      </c>
      <c r="E19" s="112">
        <f>C7-77</f>
        <v>1483</v>
      </c>
      <c r="F19" s="117">
        <f>G7*G10</f>
        <v>12</v>
      </c>
      <c r="G19" s="118">
        <f>ROUNDUP(F19/(ROUNDDOWN(VLOOKUP(D19,N23:O25,2,FALSE)/(E19+3),0)),0)</f>
        <v>3</v>
      </c>
      <c r="H19" s="56"/>
      <c r="I19" s="170"/>
      <c r="J19" s="170"/>
      <c r="K19" s="170"/>
      <c r="L19" s="170"/>
      <c r="M19" s="170" t="s">
        <v>14</v>
      </c>
      <c r="N19" s="170"/>
      <c r="O19" s="170"/>
      <c r="P19" s="170"/>
      <c r="Q19" s="170"/>
      <c r="R19" s="313"/>
      <c r="S19" s="313"/>
      <c r="T19" s="313"/>
      <c r="U19" s="313"/>
      <c r="V19" s="313"/>
      <c r="W19" s="176"/>
      <c r="X19" s="176"/>
      <c r="Y19" s="176"/>
    </row>
    <row r="20" spans="1:25" ht="17.25" thickTop="1">
      <c r="A20" s="52"/>
      <c r="B20" s="66"/>
      <c r="C20" s="66"/>
      <c r="D20" s="65"/>
      <c r="E20" s="65"/>
      <c r="F20" s="84"/>
      <c r="G20" s="84"/>
      <c r="H20" s="56"/>
      <c r="I20" s="170"/>
      <c r="J20" s="170"/>
      <c r="K20" s="170"/>
      <c r="L20" s="170"/>
      <c r="M20" s="170" t="s">
        <v>12</v>
      </c>
      <c r="N20" s="170"/>
      <c r="O20" s="170"/>
      <c r="P20" s="170"/>
      <c r="Q20" s="170"/>
      <c r="R20" s="313"/>
      <c r="S20" s="313"/>
      <c r="T20" s="313"/>
      <c r="U20" s="313"/>
      <c r="V20" s="313"/>
      <c r="W20" s="176"/>
      <c r="X20" s="176"/>
      <c r="Y20" s="176"/>
    </row>
    <row r="21" spans="1:25" ht="17.25" thickBot="1">
      <c r="A21" s="52"/>
      <c r="B21" s="80"/>
      <c r="C21" s="80"/>
      <c r="D21" s="78"/>
      <c r="E21" s="78"/>
      <c r="F21" s="78"/>
      <c r="G21" s="78"/>
      <c r="H21" s="56"/>
      <c r="I21" s="170"/>
      <c r="J21" s="170"/>
      <c r="K21" s="170"/>
      <c r="L21" s="170"/>
      <c r="M21" s="170" t="s">
        <v>15</v>
      </c>
      <c r="N21" s="170"/>
      <c r="O21" s="170"/>
      <c r="P21" s="170"/>
      <c r="Q21" s="170"/>
      <c r="R21" s="313"/>
      <c r="S21" s="313"/>
      <c r="T21" s="313"/>
      <c r="U21" s="313"/>
      <c r="V21" s="313"/>
      <c r="W21" s="176"/>
      <c r="X21" s="176"/>
      <c r="Y21" s="176"/>
    </row>
    <row r="22" spans="1:25" ht="20.25" thickTop="1" thickBot="1">
      <c r="A22" s="52"/>
      <c r="B22" s="253" t="s">
        <v>78</v>
      </c>
      <c r="C22" s="254"/>
      <c r="D22" s="254"/>
      <c r="E22" s="254"/>
      <c r="F22" s="254"/>
      <c r="G22" s="255"/>
      <c r="H22" s="56"/>
      <c r="I22" s="170"/>
      <c r="J22" s="170"/>
      <c r="K22" s="170"/>
      <c r="L22" s="170"/>
      <c r="M22" s="170" t="s">
        <v>11</v>
      </c>
      <c r="N22" s="170"/>
      <c r="O22" s="170"/>
      <c r="P22" s="170"/>
      <c r="Q22" s="170"/>
      <c r="R22" s="313"/>
      <c r="S22" s="313"/>
      <c r="T22" s="313"/>
      <c r="U22" s="313"/>
      <c r="V22" s="313"/>
      <c r="W22" s="176"/>
      <c r="X22" s="176"/>
      <c r="Y22" s="176"/>
    </row>
    <row r="23" spans="1:25" ht="18" thickTop="1" thickBot="1">
      <c r="A23" s="52"/>
      <c r="B23" s="256" t="s">
        <v>79</v>
      </c>
      <c r="C23" s="257"/>
      <c r="D23" s="109" t="s">
        <v>80</v>
      </c>
      <c r="E23" s="109" t="s">
        <v>81</v>
      </c>
      <c r="F23" s="263" t="s">
        <v>70</v>
      </c>
      <c r="G23" s="264"/>
      <c r="H23" s="56"/>
      <c r="I23" s="170"/>
      <c r="J23" s="170"/>
      <c r="K23" s="170"/>
      <c r="L23" s="170"/>
      <c r="M23" s="170" t="s">
        <v>10</v>
      </c>
      <c r="N23" s="170" t="s">
        <v>14</v>
      </c>
      <c r="O23" s="170">
        <v>6500</v>
      </c>
      <c r="P23" s="170"/>
      <c r="Q23" s="170"/>
      <c r="R23" s="313"/>
      <c r="S23" s="313"/>
      <c r="T23" s="313"/>
      <c r="U23" s="313"/>
      <c r="V23" s="313"/>
      <c r="W23" s="176"/>
      <c r="X23" s="176"/>
      <c r="Y23" s="176"/>
    </row>
    <row r="24" spans="1:25" ht="18" thickTop="1" thickBot="1">
      <c r="A24" s="52"/>
      <c r="B24" s="258" t="s">
        <v>82</v>
      </c>
      <c r="C24" s="259"/>
      <c r="D24" s="111">
        <v>317673</v>
      </c>
      <c r="E24" s="111" t="s">
        <v>83</v>
      </c>
      <c r="F24" s="265">
        <f>4*G7</f>
        <v>4</v>
      </c>
      <c r="G24" s="266"/>
      <c r="H24" s="56"/>
      <c r="I24" s="170"/>
      <c r="J24" s="170"/>
      <c r="K24" s="170"/>
      <c r="L24" s="170"/>
      <c r="M24" s="170"/>
      <c r="N24" s="170" t="s">
        <v>12</v>
      </c>
      <c r="O24" s="170">
        <v>6500</v>
      </c>
      <c r="P24" s="170"/>
      <c r="Q24" s="170"/>
      <c r="R24" s="313"/>
      <c r="S24" s="313"/>
      <c r="T24" s="313"/>
      <c r="U24" s="313"/>
      <c r="V24" s="313"/>
      <c r="W24" s="176"/>
      <c r="X24" s="176"/>
      <c r="Y24" s="176"/>
    </row>
    <row r="25" spans="1:25" ht="17.25" thickBot="1">
      <c r="A25" s="52"/>
      <c r="B25" s="249" t="s">
        <v>86</v>
      </c>
      <c r="C25" s="250"/>
      <c r="D25" s="107">
        <v>309327</v>
      </c>
      <c r="E25" s="107" t="s">
        <v>83</v>
      </c>
      <c r="F25" s="251">
        <f>4*G7</f>
        <v>4</v>
      </c>
      <c r="G25" s="252"/>
      <c r="H25" s="56"/>
      <c r="I25" s="170"/>
      <c r="J25" s="170"/>
      <c r="K25" s="170"/>
      <c r="L25" s="170"/>
      <c r="M25" s="170"/>
      <c r="N25" s="170" t="s">
        <v>11</v>
      </c>
      <c r="O25" s="170">
        <v>6500</v>
      </c>
      <c r="P25" s="170"/>
      <c r="Q25" s="170"/>
      <c r="R25" s="313"/>
      <c r="S25" s="313"/>
      <c r="T25" s="313"/>
      <c r="U25" s="313"/>
      <c r="V25" s="313"/>
      <c r="W25" s="176"/>
      <c r="X25" s="176"/>
      <c r="Y25" s="176"/>
    </row>
    <row r="26" spans="1:25" ht="17.25" thickBot="1">
      <c r="A26" s="52"/>
      <c r="B26" s="162" t="s">
        <v>84</v>
      </c>
      <c r="C26" s="163"/>
      <c r="D26" s="161">
        <v>317671</v>
      </c>
      <c r="E26" s="161" t="s">
        <v>83</v>
      </c>
      <c r="F26" s="276">
        <f>N17*G7</f>
        <v>22</v>
      </c>
      <c r="G26" s="277"/>
      <c r="H26" s="56"/>
      <c r="I26" s="170"/>
      <c r="J26" s="170"/>
      <c r="K26" s="170"/>
      <c r="L26" s="170"/>
      <c r="M26" s="170"/>
      <c r="N26" s="170"/>
      <c r="O26" s="170"/>
      <c r="P26" s="170"/>
      <c r="Q26" s="170"/>
      <c r="R26" s="313"/>
      <c r="S26" s="313"/>
      <c r="T26" s="313"/>
      <c r="U26" s="313"/>
      <c r="V26" s="313"/>
      <c r="W26" s="176"/>
      <c r="X26" s="176"/>
      <c r="Y26" s="176"/>
    </row>
    <row r="27" spans="1:25" ht="17.25" thickBot="1">
      <c r="A27" s="52"/>
      <c r="B27" s="162" t="s">
        <v>85</v>
      </c>
      <c r="C27" s="163"/>
      <c r="D27" s="161">
        <v>317672</v>
      </c>
      <c r="E27" s="161" t="s">
        <v>83</v>
      </c>
      <c r="F27" s="276">
        <f>P17*G7</f>
        <v>22</v>
      </c>
      <c r="G27" s="277"/>
      <c r="H27" s="56"/>
      <c r="I27" s="170"/>
      <c r="J27" s="170"/>
      <c r="K27" s="170"/>
      <c r="L27" s="170"/>
      <c r="M27" s="170"/>
      <c r="N27" s="170"/>
      <c r="O27" s="170"/>
      <c r="P27" s="170"/>
      <c r="Q27" s="170"/>
      <c r="R27" s="313"/>
      <c r="S27" s="313"/>
      <c r="T27" s="313"/>
      <c r="U27" s="313"/>
      <c r="V27" s="313"/>
      <c r="W27" s="176"/>
      <c r="X27" s="176"/>
      <c r="Y27" s="176"/>
    </row>
    <row r="28" spans="1:25" ht="17.25" thickBot="1">
      <c r="A28" s="52"/>
      <c r="B28" s="268" t="s">
        <v>197</v>
      </c>
      <c r="C28" s="269"/>
      <c r="D28" s="107">
        <v>320001</v>
      </c>
      <c r="E28" s="107" t="s">
        <v>140</v>
      </c>
      <c r="F28" s="276">
        <f>G7*G10</f>
        <v>12</v>
      </c>
      <c r="G28" s="277"/>
      <c r="H28" s="56"/>
      <c r="I28" s="170"/>
      <c r="J28" s="170"/>
      <c r="K28" s="170"/>
      <c r="L28" s="170"/>
      <c r="M28" s="170"/>
      <c r="N28" s="170"/>
      <c r="O28" s="170"/>
      <c r="P28" s="170"/>
      <c r="Q28" s="170"/>
      <c r="R28" s="313"/>
      <c r="S28" s="313"/>
      <c r="T28" s="313"/>
      <c r="U28" s="313"/>
      <c r="V28" s="313"/>
      <c r="W28" s="176"/>
      <c r="X28" s="176"/>
      <c r="Y28" s="176"/>
    </row>
    <row r="29" spans="1:25" ht="17.25" thickBot="1">
      <c r="A29" s="52"/>
      <c r="B29" s="249" t="s">
        <v>137</v>
      </c>
      <c r="C29" s="250"/>
      <c r="D29" s="107">
        <v>300059</v>
      </c>
      <c r="E29" s="107" t="s">
        <v>83</v>
      </c>
      <c r="F29" s="276">
        <f>2*F28</f>
        <v>24</v>
      </c>
      <c r="G29" s="277"/>
      <c r="H29" s="56"/>
      <c r="I29" s="170"/>
      <c r="J29" s="170"/>
      <c r="K29" s="170"/>
      <c r="L29" s="313"/>
      <c r="M29" s="313"/>
      <c r="N29" s="313"/>
      <c r="O29" s="313"/>
      <c r="P29" s="313"/>
      <c r="Q29" s="313"/>
      <c r="R29" s="313"/>
      <c r="S29" s="313"/>
      <c r="T29" s="313"/>
      <c r="U29" s="313"/>
      <c r="V29" s="313"/>
      <c r="W29" s="176"/>
      <c r="X29" s="176"/>
      <c r="Y29" s="176"/>
    </row>
    <row r="30" spans="1:25" ht="17.25" thickBot="1">
      <c r="A30" s="52"/>
      <c r="B30" s="249" t="s">
        <v>136</v>
      </c>
      <c r="C30" s="250"/>
      <c r="D30" s="107">
        <v>317676</v>
      </c>
      <c r="E30" s="107" t="s">
        <v>83</v>
      </c>
      <c r="F30" s="260">
        <f>2*F28</f>
        <v>24</v>
      </c>
      <c r="G30" s="267"/>
      <c r="H30" s="56"/>
      <c r="I30" s="170"/>
      <c r="J30" s="170"/>
      <c r="K30" s="170"/>
      <c r="L30" s="313"/>
      <c r="M30" s="313"/>
      <c r="N30" s="313"/>
      <c r="O30" s="313"/>
      <c r="P30" s="313"/>
      <c r="Q30" s="313"/>
      <c r="R30" s="313"/>
      <c r="S30" s="313"/>
      <c r="T30" s="313"/>
      <c r="U30" s="313"/>
      <c r="V30" s="313"/>
      <c r="W30" s="176"/>
      <c r="X30" s="176"/>
      <c r="Y30" s="176"/>
    </row>
    <row r="31" spans="1:25" ht="17.25" thickBot="1">
      <c r="A31" s="52"/>
      <c r="B31" s="268" t="s">
        <v>193</v>
      </c>
      <c r="C31" s="269"/>
      <c r="D31" s="107">
        <v>309153</v>
      </c>
      <c r="E31" s="107" t="s">
        <v>83</v>
      </c>
      <c r="F31" s="270">
        <f>4*G7</f>
        <v>4</v>
      </c>
      <c r="G31" s="271"/>
      <c r="H31" s="56"/>
      <c r="I31" s="170"/>
      <c r="J31" s="170"/>
      <c r="K31" s="170"/>
      <c r="L31" s="313"/>
      <c r="M31" s="313"/>
      <c r="N31" s="313"/>
      <c r="O31" s="313"/>
      <c r="P31" s="313"/>
      <c r="Q31" s="313"/>
      <c r="R31" s="313"/>
      <c r="S31" s="313"/>
      <c r="T31" s="313"/>
      <c r="U31" s="313"/>
      <c r="V31" s="313"/>
      <c r="W31" s="176"/>
      <c r="X31" s="176"/>
      <c r="Y31" s="176"/>
    </row>
    <row r="32" spans="1:25" ht="17.25" thickBot="1">
      <c r="A32" s="52"/>
      <c r="B32" s="249" t="s">
        <v>87</v>
      </c>
      <c r="C32" s="250"/>
      <c r="D32" s="103" t="s">
        <v>159</v>
      </c>
      <c r="E32" s="107" t="s">
        <v>83</v>
      </c>
      <c r="F32" s="260">
        <f>MAX((2*(ROUNDUP((E16/300),0)+1)*G7),4)</f>
        <v>10</v>
      </c>
      <c r="G32" s="267"/>
      <c r="H32" s="56"/>
      <c r="I32" s="170"/>
      <c r="J32" s="170"/>
      <c r="K32" s="170"/>
      <c r="L32" s="313"/>
      <c r="M32" s="313"/>
      <c r="N32" s="313"/>
      <c r="O32" s="313"/>
      <c r="P32" s="313"/>
      <c r="Q32" s="313"/>
      <c r="R32" s="313"/>
      <c r="S32" s="313"/>
      <c r="T32" s="313">
        <f>E18*F17</f>
        <v>2158</v>
      </c>
      <c r="U32" s="313"/>
      <c r="V32" s="313"/>
      <c r="W32" s="176"/>
      <c r="X32" s="176"/>
      <c r="Y32" s="176"/>
    </row>
    <row r="33" spans="1:25" ht="17.25" thickBot="1">
      <c r="A33" s="52"/>
      <c r="B33" s="249" t="s">
        <v>88</v>
      </c>
      <c r="C33" s="250"/>
      <c r="D33" s="107">
        <v>306668</v>
      </c>
      <c r="E33" s="107" t="s">
        <v>83</v>
      </c>
      <c r="F33" s="251">
        <f>F17</f>
        <v>2</v>
      </c>
      <c r="G33" s="252"/>
      <c r="H33" s="56"/>
      <c r="I33" s="170"/>
      <c r="J33" s="170"/>
      <c r="K33" s="170"/>
      <c r="L33" s="313"/>
      <c r="M33" s="313"/>
      <c r="N33" s="313"/>
      <c r="O33" s="313"/>
      <c r="P33" s="313"/>
      <c r="Q33" s="313"/>
      <c r="R33" s="313"/>
      <c r="S33" s="313"/>
      <c r="T33" s="313"/>
      <c r="U33" s="313"/>
      <c r="V33" s="313"/>
      <c r="W33" s="176"/>
      <c r="X33" s="176"/>
      <c r="Y33" s="176"/>
    </row>
    <row r="34" spans="1:25" ht="17.25" thickBot="1">
      <c r="A34" s="52"/>
      <c r="B34" s="272" t="s">
        <v>23</v>
      </c>
      <c r="C34" s="273"/>
      <c r="D34" s="112">
        <v>301405</v>
      </c>
      <c r="E34" s="112" t="s">
        <v>83</v>
      </c>
      <c r="F34" s="274">
        <f>F17</f>
        <v>2</v>
      </c>
      <c r="G34" s="275"/>
      <c r="H34" s="56"/>
      <c r="I34" s="170"/>
      <c r="J34" s="170"/>
      <c r="K34" s="170"/>
      <c r="L34" s="313"/>
      <c r="M34" s="313"/>
      <c r="N34" s="313"/>
      <c r="O34" s="313"/>
      <c r="P34" s="313"/>
      <c r="Q34" s="313"/>
      <c r="R34" s="313"/>
      <c r="S34" s="313"/>
      <c r="T34" s="313">
        <f>SUM(T32:T33)</f>
        <v>2158</v>
      </c>
      <c r="U34" s="313"/>
      <c r="V34" s="313"/>
      <c r="W34" s="176"/>
      <c r="X34" s="176"/>
      <c r="Y34" s="176"/>
    </row>
    <row r="35" spans="1:25" ht="17.25" thickTop="1">
      <c r="A35" s="33"/>
      <c r="B35" s="9"/>
      <c r="C35" s="9"/>
      <c r="D35" s="10"/>
      <c r="E35" s="10"/>
      <c r="F35" s="11"/>
      <c r="G35" s="11"/>
      <c r="H35" s="34"/>
      <c r="I35" s="170"/>
      <c r="J35" s="170"/>
      <c r="K35" s="170"/>
      <c r="L35" s="313"/>
      <c r="M35" s="313"/>
      <c r="N35" s="313"/>
      <c r="O35" s="313"/>
      <c r="P35" s="313"/>
      <c r="Q35" s="313"/>
      <c r="R35" s="313"/>
      <c r="S35" s="313"/>
      <c r="T35" s="313">
        <f>T34/6500</f>
        <v>0.33200000000000002</v>
      </c>
      <c r="U35" s="313"/>
      <c r="V35" s="313"/>
      <c r="W35" s="176"/>
      <c r="X35" s="176"/>
      <c r="Y35" s="176"/>
    </row>
    <row r="36" spans="1:25" ht="16.5">
      <c r="A36" s="33"/>
      <c r="B36" s="11"/>
      <c r="C36" s="11"/>
      <c r="D36" s="11"/>
      <c r="E36" s="11"/>
      <c r="F36" s="11"/>
      <c r="G36" s="11"/>
      <c r="H36" s="34"/>
      <c r="I36" s="170"/>
      <c r="J36" s="170"/>
      <c r="K36" s="170"/>
      <c r="L36" s="313"/>
      <c r="M36" s="313"/>
      <c r="N36" s="313"/>
      <c r="O36" s="313"/>
      <c r="P36" s="313"/>
      <c r="Q36" s="313"/>
      <c r="R36" s="313"/>
      <c r="S36" s="313"/>
      <c r="T36" s="313"/>
      <c r="U36" s="313"/>
      <c r="V36" s="313"/>
      <c r="W36" s="176"/>
      <c r="X36" s="176"/>
      <c r="Y36" s="176"/>
    </row>
    <row r="37" spans="1:25" ht="16.5">
      <c r="A37" s="33"/>
      <c r="B37" s="11"/>
      <c r="C37" s="11"/>
      <c r="D37" s="11"/>
      <c r="E37" s="11"/>
      <c r="F37" s="11"/>
      <c r="G37" s="11"/>
      <c r="H37" s="37"/>
      <c r="I37" s="170"/>
      <c r="J37" s="170"/>
      <c r="K37" s="170"/>
      <c r="L37" s="313"/>
      <c r="M37" s="313"/>
      <c r="N37" s="313"/>
      <c r="O37" s="313"/>
      <c r="P37" s="313"/>
      <c r="Q37" s="313"/>
      <c r="R37" s="313"/>
      <c r="S37" s="313"/>
      <c r="T37" s="313"/>
      <c r="U37" s="313"/>
      <c r="V37" s="313"/>
      <c r="W37" s="176"/>
      <c r="X37" s="176"/>
      <c r="Y37" s="176"/>
    </row>
    <row r="38" spans="1:25" ht="16.5">
      <c r="A38" s="38"/>
      <c r="B38" s="11"/>
      <c r="C38" s="11"/>
      <c r="D38" s="11"/>
      <c r="E38" s="11"/>
      <c r="F38" s="11"/>
      <c r="G38" s="11"/>
      <c r="H38" s="37"/>
      <c r="I38" s="170"/>
      <c r="J38" s="170"/>
      <c r="K38" s="170"/>
      <c r="L38" s="313"/>
      <c r="M38" s="313"/>
      <c r="N38" s="313"/>
      <c r="O38" s="313"/>
      <c r="P38" s="313"/>
      <c r="Q38" s="313"/>
      <c r="R38" s="313"/>
      <c r="S38" s="313"/>
      <c r="T38" s="313"/>
      <c r="U38" s="313"/>
      <c r="V38" s="313"/>
      <c r="W38" s="176"/>
      <c r="X38" s="176"/>
      <c r="Y38" s="176"/>
    </row>
    <row r="39" spans="1:25" ht="16.5">
      <c r="A39" s="38"/>
      <c r="B39" s="11"/>
      <c r="C39" s="11"/>
      <c r="D39" s="11"/>
      <c r="E39" s="11"/>
      <c r="F39" s="11"/>
      <c r="G39" s="11"/>
      <c r="H39" s="37"/>
      <c r="I39" s="170"/>
      <c r="J39" s="170"/>
      <c r="K39" s="170"/>
      <c r="L39" s="313"/>
      <c r="M39" s="313"/>
      <c r="N39" s="313"/>
      <c r="O39" s="313"/>
      <c r="P39" s="313"/>
      <c r="Q39" s="313"/>
      <c r="R39" s="313"/>
      <c r="S39" s="313"/>
      <c r="T39" s="313"/>
      <c r="U39" s="313"/>
      <c r="V39" s="313"/>
      <c r="W39" s="176"/>
      <c r="X39" s="176"/>
      <c r="Y39" s="176"/>
    </row>
    <row r="40" spans="1:25" ht="15" customHeight="1">
      <c r="A40" s="38"/>
      <c r="B40" s="11"/>
      <c r="C40" s="11"/>
      <c r="D40" s="11"/>
      <c r="E40" s="11"/>
      <c r="F40" s="11"/>
      <c r="G40" s="11"/>
      <c r="H40" s="37"/>
      <c r="I40" s="170"/>
      <c r="J40" s="170"/>
      <c r="K40" s="170"/>
      <c r="L40" s="170"/>
      <c r="M40" s="170"/>
      <c r="N40" s="172"/>
      <c r="O40" s="172"/>
      <c r="P40" s="170"/>
      <c r="Q40" s="170"/>
      <c r="R40" s="170"/>
      <c r="S40" s="170"/>
      <c r="T40" s="170"/>
      <c r="U40" s="170"/>
      <c r="V40" s="170"/>
    </row>
    <row r="41" spans="1:25" ht="15" customHeight="1">
      <c r="A41" s="38"/>
      <c r="B41" s="11"/>
      <c r="C41" s="11"/>
      <c r="D41" s="11"/>
      <c r="E41" s="11"/>
      <c r="F41" s="11"/>
      <c r="G41" s="11"/>
      <c r="H41" s="37"/>
      <c r="I41" s="170"/>
      <c r="J41" s="170"/>
      <c r="K41" s="170"/>
      <c r="L41" s="170"/>
      <c r="M41" s="170"/>
      <c r="N41" s="172"/>
      <c r="O41" s="172"/>
      <c r="P41" s="170"/>
      <c r="Q41" s="170"/>
      <c r="R41" s="170"/>
      <c r="S41" s="170"/>
      <c r="T41" s="170"/>
      <c r="U41" s="170"/>
      <c r="V41" s="170"/>
    </row>
    <row r="42" spans="1:25" ht="15" customHeight="1">
      <c r="A42" s="38"/>
      <c r="B42" s="11"/>
      <c r="C42" s="11"/>
      <c r="D42" s="11"/>
      <c r="E42" s="11"/>
      <c r="F42" s="11"/>
      <c r="G42" s="11"/>
      <c r="H42" s="37"/>
      <c r="I42" s="170"/>
      <c r="J42" s="170"/>
      <c r="K42" s="170"/>
      <c r="L42" s="170"/>
      <c r="M42" s="170"/>
      <c r="N42" s="172"/>
      <c r="O42" s="172"/>
      <c r="P42" s="170"/>
      <c r="Q42" s="170"/>
      <c r="R42" s="170"/>
      <c r="S42" s="170"/>
      <c r="T42" s="170"/>
      <c r="U42" s="170"/>
      <c r="V42" s="170"/>
    </row>
    <row r="43" spans="1:25" ht="15" customHeight="1">
      <c r="A43" s="38"/>
      <c r="B43" s="11"/>
      <c r="C43" s="11"/>
      <c r="D43" s="11"/>
      <c r="E43" s="11"/>
      <c r="F43" s="11"/>
      <c r="G43" s="11"/>
      <c r="H43" s="37"/>
      <c r="I43" s="170"/>
      <c r="J43" s="170"/>
      <c r="K43" s="170"/>
      <c r="L43" s="170"/>
      <c r="M43" s="170"/>
      <c r="N43" s="172"/>
      <c r="O43" s="172"/>
      <c r="P43" s="170"/>
      <c r="Q43" s="170"/>
      <c r="R43" s="170"/>
      <c r="S43" s="170"/>
      <c r="T43" s="170"/>
      <c r="U43" s="170"/>
      <c r="V43" s="170"/>
    </row>
    <row r="44" spans="1:25" ht="15" customHeight="1">
      <c r="A44" s="38"/>
      <c r="B44" s="11"/>
      <c r="C44" s="11"/>
      <c r="D44" s="11"/>
      <c r="E44" s="11"/>
      <c r="F44" s="11"/>
      <c r="G44" s="11"/>
      <c r="H44" s="37"/>
      <c r="I44" s="170"/>
      <c r="J44" s="170"/>
      <c r="K44" s="170"/>
      <c r="L44" s="170"/>
      <c r="M44" s="170"/>
      <c r="N44" s="172"/>
      <c r="O44" s="172"/>
      <c r="P44" s="170"/>
      <c r="Q44" s="170"/>
      <c r="R44" s="170"/>
      <c r="S44" s="170"/>
      <c r="T44" s="170"/>
      <c r="U44" s="170"/>
      <c r="V44" s="170"/>
    </row>
    <row r="45" spans="1:25" ht="15" customHeight="1">
      <c r="A45" s="38"/>
      <c r="B45" s="11"/>
      <c r="C45" s="11"/>
      <c r="D45" s="11"/>
      <c r="E45" s="11"/>
      <c r="F45" s="11"/>
      <c r="G45" s="11"/>
      <c r="H45" s="37"/>
      <c r="I45" s="170"/>
      <c r="J45" s="170"/>
      <c r="K45" s="170"/>
      <c r="L45" s="170"/>
      <c r="M45" s="170"/>
      <c r="N45" s="172"/>
      <c r="O45" s="172"/>
      <c r="P45" s="170"/>
      <c r="Q45" s="170"/>
      <c r="R45" s="170"/>
      <c r="S45" s="170"/>
      <c r="T45" s="170"/>
      <c r="U45" s="170"/>
      <c r="V45" s="170"/>
    </row>
    <row r="46" spans="1:25" ht="15" customHeight="1">
      <c r="A46" s="38"/>
      <c r="B46" s="11"/>
      <c r="C46" s="11"/>
      <c r="D46" s="11"/>
      <c r="E46" s="11"/>
      <c r="F46" s="11"/>
      <c r="G46" s="11"/>
      <c r="H46" s="37"/>
      <c r="I46" s="170"/>
      <c r="J46" s="170"/>
      <c r="K46" s="170"/>
      <c r="L46" s="170"/>
      <c r="M46" s="170"/>
      <c r="N46" s="172"/>
      <c r="O46" s="172"/>
      <c r="P46" s="170"/>
      <c r="Q46" s="170"/>
      <c r="R46" s="170"/>
      <c r="S46" s="170"/>
      <c r="T46" s="170"/>
      <c r="U46" s="170"/>
      <c r="V46" s="170"/>
    </row>
    <row r="47" spans="1:25" ht="15" customHeight="1">
      <c r="A47" s="38"/>
      <c r="B47" s="11"/>
      <c r="C47" s="11"/>
      <c r="D47" s="11"/>
      <c r="E47" s="11"/>
      <c r="F47" s="11"/>
      <c r="G47" s="11"/>
      <c r="H47" s="37"/>
      <c r="I47" s="170"/>
      <c r="J47" s="170"/>
      <c r="K47" s="170"/>
      <c r="L47" s="170"/>
      <c r="M47" s="170"/>
      <c r="N47" s="172"/>
      <c r="O47" s="172"/>
      <c r="P47" s="170"/>
      <c r="Q47" s="170"/>
      <c r="R47" s="170"/>
      <c r="S47" s="170"/>
      <c r="T47" s="170"/>
      <c r="U47" s="170"/>
      <c r="V47" s="170"/>
    </row>
    <row r="48" spans="1:25" ht="15" customHeight="1">
      <c r="A48" s="38"/>
      <c r="B48" s="11"/>
      <c r="C48" s="11"/>
      <c r="D48" s="11"/>
      <c r="E48" s="11"/>
      <c r="F48" s="11"/>
      <c r="G48" s="11"/>
      <c r="H48" s="37"/>
    </row>
    <row r="49" spans="1:8" ht="15" customHeight="1">
      <c r="A49" s="38"/>
      <c r="B49" s="11"/>
      <c r="C49" s="11"/>
      <c r="D49" s="11"/>
      <c r="E49" s="11"/>
      <c r="F49" s="11"/>
      <c r="G49" s="11"/>
      <c r="H49" s="37"/>
    </row>
    <row r="50" spans="1:8" ht="15" customHeight="1">
      <c r="A50" s="38"/>
      <c r="B50" s="11"/>
      <c r="C50" s="11"/>
      <c r="D50" s="11"/>
      <c r="E50" s="11"/>
      <c r="F50" s="11"/>
      <c r="G50" s="11"/>
      <c r="H50" s="37"/>
    </row>
    <row r="51" spans="1:8" ht="15" customHeight="1">
      <c r="A51" s="38"/>
      <c r="B51" s="11"/>
      <c r="C51" s="11"/>
      <c r="D51" s="11"/>
      <c r="E51" s="11"/>
      <c r="F51" s="11"/>
      <c r="G51" s="11"/>
      <c r="H51" s="37"/>
    </row>
    <row r="52" spans="1:8" ht="15" customHeight="1">
      <c r="A52" s="38"/>
      <c r="B52" s="11"/>
      <c r="C52" s="11"/>
      <c r="D52" s="11"/>
      <c r="E52" s="11"/>
      <c r="F52" s="11"/>
      <c r="G52" s="11"/>
      <c r="H52" s="37"/>
    </row>
    <row r="53" spans="1:8" ht="15" customHeight="1">
      <c r="A53" s="38"/>
      <c r="B53" s="11"/>
      <c r="C53" s="11"/>
      <c r="D53" s="11"/>
      <c r="E53" s="11"/>
      <c r="F53" s="11"/>
      <c r="G53" s="11"/>
      <c r="H53" s="37"/>
    </row>
    <row r="54" spans="1:8" ht="15" customHeight="1">
      <c r="A54" s="38"/>
      <c r="B54" s="11"/>
      <c r="C54" s="11"/>
      <c r="D54" s="11"/>
      <c r="E54" s="11"/>
      <c r="F54" s="11"/>
      <c r="G54" s="11"/>
      <c r="H54" s="37"/>
    </row>
    <row r="55" spans="1:8" ht="15" customHeight="1">
      <c r="A55" s="38"/>
      <c r="B55" s="11"/>
      <c r="C55" s="11"/>
      <c r="D55" s="11"/>
      <c r="E55" s="11"/>
      <c r="F55" s="11"/>
      <c r="G55" s="11"/>
      <c r="H55" s="37"/>
    </row>
    <row r="56" spans="1:8" ht="15" customHeight="1">
      <c r="A56" s="38"/>
      <c r="B56" s="11"/>
      <c r="C56" s="11"/>
      <c r="D56" s="11"/>
      <c r="E56" s="11"/>
      <c r="F56" s="11"/>
      <c r="G56" s="11"/>
      <c r="H56" s="37"/>
    </row>
    <row r="57" spans="1:8" ht="15" customHeight="1">
      <c r="A57" s="38"/>
      <c r="B57" s="11"/>
      <c r="C57" s="11"/>
      <c r="D57" s="11"/>
      <c r="E57" s="11"/>
      <c r="F57" s="11"/>
      <c r="G57" s="11"/>
      <c r="H57" s="37"/>
    </row>
    <row r="58" spans="1:8" ht="15" customHeight="1">
      <c r="A58" s="38"/>
      <c r="B58" s="11"/>
      <c r="C58" s="11"/>
      <c r="D58" s="11"/>
      <c r="E58" s="11"/>
      <c r="F58" s="11"/>
      <c r="G58" s="11"/>
      <c r="H58" s="37"/>
    </row>
    <row r="59" spans="1:8" ht="15" customHeight="1">
      <c r="A59" s="38"/>
      <c r="B59" s="11"/>
      <c r="C59" s="11"/>
      <c r="D59" s="11"/>
      <c r="E59" s="11"/>
      <c r="F59" s="11"/>
      <c r="G59" s="11"/>
      <c r="H59" s="37"/>
    </row>
    <row r="60" spans="1:8" ht="15" customHeight="1">
      <c r="A60" s="38"/>
      <c r="B60" s="11"/>
      <c r="C60" s="11"/>
      <c r="D60" s="11"/>
      <c r="E60" s="11"/>
      <c r="F60" s="11"/>
      <c r="G60" s="11"/>
      <c r="H60" s="37"/>
    </row>
    <row r="61" spans="1:8" ht="15" customHeight="1">
      <c r="A61" s="38"/>
      <c r="B61" s="11"/>
      <c r="C61" s="11"/>
      <c r="D61" s="11"/>
      <c r="E61" s="11"/>
      <c r="F61" s="11"/>
      <c r="G61" s="11"/>
      <c r="H61" s="37"/>
    </row>
    <row r="62" spans="1:8" ht="15" customHeight="1">
      <c r="A62" s="38"/>
      <c r="B62" s="11"/>
      <c r="C62" s="11"/>
      <c r="D62" s="11"/>
      <c r="E62" s="11"/>
      <c r="F62" s="11"/>
      <c r="G62" s="11"/>
      <c r="H62" s="37"/>
    </row>
    <row r="63" spans="1:8" ht="15" customHeight="1">
      <c r="A63" s="38"/>
      <c r="H63" s="37"/>
    </row>
    <row r="64" spans="1:8" ht="15" customHeight="1">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sheetData>
  <sheetProtection password="DE70" sheet="1" objects="1" scenarios="1"/>
  <mergeCells count="38">
    <mergeCell ref="B64:G66"/>
    <mergeCell ref="B31:C31"/>
    <mergeCell ref="F31:G31"/>
    <mergeCell ref="A5:H5"/>
    <mergeCell ref="A1:H2"/>
    <mergeCell ref="A3:C3"/>
    <mergeCell ref="D3:H3"/>
    <mergeCell ref="A4:C4"/>
    <mergeCell ref="D4:H4"/>
    <mergeCell ref="B14:G14"/>
    <mergeCell ref="B15:C15"/>
    <mergeCell ref="B16:C16"/>
    <mergeCell ref="B17:C17"/>
    <mergeCell ref="D17:D18"/>
    <mergeCell ref="F17:F18"/>
    <mergeCell ref="G17:G18"/>
    <mergeCell ref="B34:C34"/>
    <mergeCell ref="F34:G34"/>
    <mergeCell ref="B29:C29"/>
    <mergeCell ref="F29:G29"/>
    <mergeCell ref="B25:C25"/>
    <mergeCell ref="F25:G25"/>
    <mergeCell ref="B30:C30"/>
    <mergeCell ref="F30:G30"/>
    <mergeCell ref="F28:G28"/>
    <mergeCell ref="B28:C28"/>
    <mergeCell ref="B32:C32"/>
    <mergeCell ref="F32:G32"/>
    <mergeCell ref="B33:C33"/>
    <mergeCell ref="F33:G33"/>
    <mergeCell ref="F26:G26"/>
    <mergeCell ref="F27:G27"/>
    <mergeCell ref="B23:C23"/>
    <mergeCell ref="F23:G23"/>
    <mergeCell ref="B24:C24"/>
    <mergeCell ref="F24:G24"/>
    <mergeCell ref="B18:C18"/>
    <mergeCell ref="B22:G22"/>
  </mergeCells>
  <dataValidations disablePrompts="1" count="1">
    <dataValidation type="list" allowBlank="1" showInputMessage="1" showErrorMessage="1" sqref="B10:D10">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1.2 - Jan' 2018&amp;R&amp;A</oddFooter>
  </headerFooter>
  <drawing r:id="rId2"/>
</worksheet>
</file>

<file path=xl/worksheets/sheet14.xml><?xml version="1.0" encoding="utf-8"?>
<worksheet xmlns="http://schemas.openxmlformats.org/spreadsheetml/2006/main" xmlns:r="http://schemas.openxmlformats.org/officeDocument/2006/relationships">
  <dimension ref="A1:W68"/>
  <sheetViews>
    <sheetView showGridLines="0" showWhiteSpace="0" view="pageLayout" zoomScaleNormal="100" zoomScaleSheetLayoutView="100" workbookViewId="0">
      <selection activeCell="E10" sqref="E10 G10"/>
    </sheetView>
  </sheetViews>
  <sheetFormatPr defaultColWidth="9.125" defaultRowHeight="15"/>
  <cols>
    <col min="1" max="1" width="1.375" style="46" customWidth="1"/>
    <col min="2" max="3" width="24.625" style="46" customWidth="1"/>
    <col min="4" max="7" width="24.625" style="12" customWidth="1"/>
    <col min="8" max="8" width="1.375" style="46" customWidth="1"/>
    <col min="9" max="10" width="9.125" style="124"/>
    <col min="11" max="11" width="6" style="124" customWidth="1"/>
    <col min="12" max="12" width="5.875" style="124" customWidth="1"/>
    <col min="13" max="13" width="21.625" style="124" customWidth="1"/>
    <col min="14" max="14" width="5.625" style="124" customWidth="1"/>
    <col min="15" max="15" width="17.75" style="124" customWidth="1"/>
    <col min="16" max="16" width="8.75" style="124" customWidth="1"/>
    <col min="17" max="23" width="9.125" style="124"/>
    <col min="24" max="16384" width="9.125" style="46"/>
  </cols>
  <sheetData>
    <row r="1" spans="1:20" ht="16.5" thickTop="1" thickBot="1">
      <c r="A1" s="221"/>
      <c r="B1" s="222"/>
      <c r="C1" s="222"/>
      <c r="D1" s="222"/>
      <c r="E1" s="222"/>
      <c r="F1" s="222"/>
      <c r="G1" s="222"/>
      <c r="H1" s="238"/>
      <c r="I1" s="176"/>
      <c r="J1" s="176"/>
      <c r="K1" s="176"/>
      <c r="L1" s="176"/>
      <c r="M1" s="176"/>
      <c r="N1" s="176"/>
      <c r="O1" s="176"/>
      <c r="P1" s="176"/>
      <c r="Q1" s="176"/>
    </row>
    <row r="2" spans="1:20" ht="111.75" customHeight="1" thickBot="1">
      <c r="A2" s="223"/>
      <c r="B2" s="224"/>
      <c r="C2" s="224"/>
      <c r="D2" s="224"/>
      <c r="E2" s="224"/>
      <c r="F2" s="224"/>
      <c r="G2" s="224"/>
      <c r="H2" s="239"/>
      <c r="I2" s="176"/>
      <c r="J2" s="176"/>
      <c r="K2" s="176"/>
      <c r="L2" s="176"/>
      <c r="M2" s="176"/>
      <c r="N2" s="176"/>
      <c r="O2" s="176"/>
      <c r="P2" s="176"/>
      <c r="Q2" s="176"/>
    </row>
    <row r="3" spans="1:20" ht="41.25" customHeight="1" thickBot="1">
      <c r="A3" s="240" t="s">
        <v>152</v>
      </c>
      <c r="B3" s="241"/>
      <c r="C3" s="241"/>
      <c r="D3" s="242" t="s">
        <v>151</v>
      </c>
      <c r="E3" s="243"/>
      <c r="F3" s="243"/>
      <c r="G3" s="243"/>
      <c r="H3" s="244"/>
      <c r="I3" s="176"/>
      <c r="J3" s="176"/>
      <c r="K3" s="176"/>
      <c r="L3" s="176"/>
      <c r="M3" s="176"/>
      <c r="N3" s="176"/>
      <c r="O3" s="176"/>
      <c r="P3" s="176"/>
      <c r="Q3" s="176"/>
    </row>
    <row r="4" spans="1:20" ht="75" customHeight="1" thickBot="1">
      <c r="A4" s="245" t="s">
        <v>153</v>
      </c>
      <c r="B4" s="246"/>
      <c r="C4" s="247"/>
      <c r="D4" s="241" t="s">
        <v>154</v>
      </c>
      <c r="E4" s="241"/>
      <c r="F4" s="241"/>
      <c r="G4" s="241"/>
      <c r="H4" s="248"/>
      <c r="I4" s="176"/>
      <c r="J4" s="176"/>
      <c r="K4" s="176"/>
      <c r="L4" s="176"/>
      <c r="M4" s="176"/>
      <c r="N4" s="176"/>
      <c r="O4" s="176"/>
      <c r="P4" s="176"/>
      <c r="Q4" s="176"/>
    </row>
    <row r="5" spans="1:20" ht="37.5" customHeight="1" thickTop="1" thickBot="1">
      <c r="A5" s="235" t="s">
        <v>196</v>
      </c>
      <c r="B5" s="236"/>
      <c r="C5" s="236"/>
      <c r="D5" s="236"/>
      <c r="E5" s="236"/>
      <c r="F5" s="236"/>
      <c r="G5" s="236"/>
      <c r="H5" s="237"/>
      <c r="I5" s="176"/>
      <c r="J5" s="176"/>
      <c r="K5" s="176"/>
    </row>
    <row r="6" spans="1:20" ht="18" thickTop="1" thickBot="1">
      <c r="A6" s="48"/>
      <c r="B6" s="49"/>
      <c r="C6" s="49"/>
      <c r="D6" s="50"/>
      <c r="E6" s="50"/>
      <c r="F6" s="50"/>
      <c r="G6" s="50"/>
      <c r="H6" s="51"/>
      <c r="I6" s="176"/>
      <c r="J6" s="176"/>
      <c r="K6" s="176"/>
      <c r="M6" s="124" t="s">
        <v>53</v>
      </c>
    </row>
    <row r="7" spans="1:20" ht="18" thickTop="1" thickBot="1">
      <c r="A7" s="52"/>
      <c r="B7" s="53" t="s">
        <v>90</v>
      </c>
      <c r="C7" s="32">
        <v>1400</v>
      </c>
      <c r="D7" s="54" t="s">
        <v>92</v>
      </c>
      <c r="E7" s="32">
        <v>1000</v>
      </c>
      <c r="F7" s="54" t="s">
        <v>62</v>
      </c>
      <c r="G7" s="87">
        <v>1</v>
      </c>
      <c r="H7" s="56"/>
      <c r="I7" s="313"/>
      <c r="J7" s="313"/>
      <c r="K7" s="313"/>
      <c r="L7" s="170"/>
      <c r="M7" s="170">
        <v>10</v>
      </c>
      <c r="N7" s="170"/>
      <c r="O7" s="170"/>
      <c r="P7" s="170"/>
      <c r="Q7" s="170"/>
      <c r="R7" s="170"/>
      <c r="S7" s="170"/>
      <c r="T7" s="170"/>
    </row>
    <row r="8" spans="1:20" ht="18" thickTop="1" thickBot="1">
      <c r="A8" s="57"/>
      <c r="B8" s="90"/>
      <c r="C8" s="91"/>
      <c r="D8" s="60"/>
      <c r="E8" s="61"/>
      <c r="F8" s="62"/>
      <c r="G8" s="63">
        <v>3</v>
      </c>
      <c r="H8" s="56"/>
      <c r="I8" s="313"/>
      <c r="J8" s="313"/>
      <c r="K8" s="313"/>
      <c r="L8" s="170"/>
      <c r="M8" s="170">
        <v>20</v>
      </c>
      <c r="N8" s="170"/>
      <c r="O8" s="170"/>
      <c r="P8" s="170"/>
      <c r="Q8" s="170"/>
      <c r="R8" s="170"/>
      <c r="S8" s="170"/>
      <c r="T8" s="170"/>
    </row>
    <row r="9" spans="1:20" ht="18" thickTop="1" thickBot="1">
      <c r="A9" s="57"/>
      <c r="B9" s="69" t="s">
        <v>57</v>
      </c>
      <c r="C9" s="69" t="s">
        <v>58</v>
      </c>
      <c r="D9" s="69" t="s">
        <v>59</v>
      </c>
      <c r="E9" s="70" t="s">
        <v>60</v>
      </c>
      <c r="F9" s="54" t="s">
        <v>61</v>
      </c>
      <c r="G9" s="94" t="s">
        <v>56</v>
      </c>
      <c r="H9" s="56"/>
      <c r="I9" s="313"/>
      <c r="J9" s="313"/>
      <c r="K9" s="313"/>
      <c r="L9" s="170"/>
      <c r="M9" s="170"/>
      <c r="N9" s="170"/>
      <c r="O9" s="170"/>
      <c r="P9" s="170"/>
      <c r="Q9" s="170"/>
      <c r="R9" s="170"/>
      <c r="S9" s="170"/>
      <c r="T9" s="170"/>
    </row>
    <row r="10" spans="1:20" ht="18" thickTop="1" thickBot="1">
      <c r="A10" s="57"/>
      <c r="B10" s="30"/>
      <c r="C10" s="30"/>
      <c r="D10" s="30"/>
      <c r="E10" s="71">
        <f>B10+C10+D10</f>
        <v>0</v>
      </c>
      <c r="F10" s="77">
        <f>(E7-45)/(81.5+E10)</f>
        <v>11.717791411042946</v>
      </c>
      <c r="G10" s="47">
        <v>12</v>
      </c>
      <c r="H10" s="56"/>
      <c r="I10" s="313"/>
      <c r="J10" s="313"/>
      <c r="K10" s="313"/>
      <c r="L10" s="170"/>
      <c r="M10" s="170"/>
      <c r="N10" s="170"/>
      <c r="O10" s="170"/>
      <c r="P10" s="170"/>
      <c r="Q10" s="170"/>
      <c r="R10" s="170"/>
      <c r="S10" s="170"/>
      <c r="T10" s="170"/>
    </row>
    <row r="11" spans="1:20" ht="18" thickTop="1" thickBot="1">
      <c r="A11" s="57"/>
      <c r="B11" s="90"/>
      <c r="C11" s="91"/>
      <c r="D11" s="60"/>
      <c r="E11" s="61"/>
      <c r="F11" s="62"/>
      <c r="G11" s="63"/>
      <c r="H11" s="56"/>
      <c r="I11" s="313"/>
      <c r="J11" s="313"/>
      <c r="K11" s="313"/>
      <c r="L11" s="170"/>
      <c r="M11" s="170"/>
      <c r="N11" s="170"/>
      <c r="O11" s="170"/>
      <c r="P11" s="170"/>
      <c r="Q11" s="170"/>
      <c r="R11" s="170"/>
      <c r="S11" s="170"/>
      <c r="T11" s="170"/>
    </row>
    <row r="12" spans="1:20" ht="30" thickTop="1" thickBot="1">
      <c r="A12" s="105"/>
      <c r="B12" s="104" t="s">
        <v>161</v>
      </c>
      <c r="C12" s="64">
        <f>C7*G7+(G7*50+50)</f>
        <v>1500</v>
      </c>
      <c r="D12" s="104" t="s">
        <v>164</v>
      </c>
      <c r="E12" s="64">
        <f>(81.5*G10)+(E10*(G10-1))+45</f>
        <v>1023</v>
      </c>
      <c r="F12" s="104" t="s">
        <v>165</v>
      </c>
      <c r="G12" s="64">
        <f>(81.5*G10)+(E10*(G10-1))+45+58</f>
        <v>1081</v>
      </c>
      <c r="H12" s="56"/>
      <c r="I12" s="313"/>
      <c r="J12" s="313"/>
      <c r="K12" s="313"/>
      <c r="L12" s="170"/>
      <c r="M12" s="170" t="s">
        <v>63</v>
      </c>
      <c r="N12" s="171">
        <f>(G10-1)*2</f>
        <v>22</v>
      </c>
      <c r="O12" s="170"/>
      <c r="P12" s="170"/>
      <c r="Q12" s="170"/>
      <c r="R12" s="170"/>
      <c r="S12" s="170"/>
      <c r="T12" s="170"/>
    </row>
    <row r="13" spans="1:20" ht="18" thickTop="1" thickBot="1">
      <c r="A13" s="52"/>
      <c r="B13" s="102" t="s">
        <v>158</v>
      </c>
      <c r="C13" s="66"/>
      <c r="D13" s="65"/>
      <c r="E13" s="101" t="s">
        <v>157</v>
      </c>
      <c r="F13" s="100"/>
      <c r="G13" s="99" t="s">
        <v>157</v>
      </c>
      <c r="H13" s="56"/>
      <c r="I13" s="313"/>
      <c r="J13" s="313"/>
      <c r="K13" s="313"/>
      <c r="L13" s="170"/>
      <c r="M13" s="170" t="s">
        <v>64</v>
      </c>
      <c r="N13" s="170" t="str">
        <f>IF(B10=10,N12,"")</f>
        <v/>
      </c>
      <c r="O13" s="170" t="s">
        <v>65</v>
      </c>
      <c r="P13" s="170" t="str">
        <f>IF(B10=20,N12,"")</f>
        <v/>
      </c>
      <c r="Q13" s="170"/>
      <c r="R13" s="170"/>
      <c r="S13" s="170"/>
      <c r="T13" s="170"/>
    </row>
    <row r="14" spans="1:20" ht="20.25" thickTop="1" thickBot="1">
      <c r="A14" s="52"/>
      <c r="B14" s="253" t="s">
        <v>66</v>
      </c>
      <c r="C14" s="254"/>
      <c r="D14" s="254"/>
      <c r="E14" s="254"/>
      <c r="F14" s="254"/>
      <c r="G14" s="255"/>
      <c r="H14" s="56"/>
      <c r="I14" s="313"/>
      <c r="J14" s="313"/>
      <c r="K14" s="313"/>
      <c r="L14" s="170"/>
      <c r="M14" s="170" t="s">
        <v>67</v>
      </c>
      <c r="N14" s="170" t="str">
        <f>IF(C10=10,N12,"")</f>
        <v/>
      </c>
      <c r="O14" s="170" t="s">
        <v>68</v>
      </c>
      <c r="P14" s="170" t="str">
        <f>IF(C10=20,N12,"")</f>
        <v/>
      </c>
      <c r="Q14" s="170"/>
      <c r="R14" s="170"/>
      <c r="S14" s="170"/>
      <c r="T14" s="170"/>
    </row>
    <row r="15" spans="1:20" ht="18" thickTop="1" thickBot="1">
      <c r="A15" s="52"/>
      <c r="B15" s="256" t="s">
        <v>47</v>
      </c>
      <c r="C15" s="257"/>
      <c r="D15" s="155" t="s">
        <v>69</v>
      </c>
      <c r="E15" s="155" t="s">
        <v>1</v>
      </c>
      <c r="F15" s="155" t="s">
        <v>70</v>
      </c>
      <c r="G15" s="156" t="s">
        <v>71</v>
      </c>
      <c r="H15" s="56"/>
      <c r="I15" s="313"/>
      <c r="J15" s="313"/>
      <c r="K15" s="313"/>
      <c r="L15" s="170"/>
      <c r="M15" s="170" t="s">
        <v>72</v>
      </c>
      <c r="N15" s="170" t="str">
        <f>IF(D10=10,N12,"")</f>
        <v/>
      </c>
      <c r="O15" s="170" t="s">
        <v>73</v>
      </c>
      <c r="P15" s="170" t="str">
        <f>IF(D10=20,N12,"")</f>
        <v/>
      </c>
      <c r="Q15" s="170"/>
      <c r="R15" s="170"/>
      <c r="S15" s="170"/>
      <c r="T15" s="170"/>
    </row>
    <row r="16" spans="1:20" ht="18" thickTop="1" thickBot="1">
      <c r="A16" s="52"/>
      <c r="B16" s="258" t="s">
        <v>74</v>
      </c>
      <c r="C16" s="259"/>
      <c r="D16" s="157" t="s">
        <v>14</v>
      </c>
      <c r="E16" s="157">
        <f>E12-5</f>
        <v>1018</v>
      </c>
      <c r="F16" s="81">
        <f>2*G7</f>
        <v>2</v>
      </c>
      <c r="G16" s="160">
        <f>ROUNDUP(F16/(ROUNDDOWN(VLOOKUP(D16,N24:O26,2,FALSE)/(E16+3),0)),0)</f>
        <v>1</v>
      </c>
      <c r="H16" s="56"/>
      <c r="I16" s="313"/>
      <c r="J16" s="313"/>
      <c r="K16" s="313"/>
      <c r="L16" s="170"/>
      <c r="M16" s="170"/>
      <c r="N16" s="170"/>
      <c r="O16" s="170"/>
      <c r="P16" s="170"/>
      <c r="Q16" s="170"/>
      <c r="R16" s="170"/>
      <c r="S16" s="170"/>
      <c r="T16" s="170"/>
    </row>
    <row r="17" spans="1:20" ht="17.25" thickBot="1">
      <c r="A17" s="52"/>
      <c r="B17" s="249" t="s">
        <v>155</v>
      </c>
      <c r="C17" s="250"/>
      <c r="D17" s="251" t="s">
        <v>12</v>
      </c>
      <c r="E17" s="153">
        <f>E12</f>
        <v>1023</v>
      </c>
      <c r="F17" s="260">
        <f>G7+1</f>
        <v>2</v>
      </c>
      <c r="G17" s="261">
        <f>ROUNDUP(F17/(ROUNDDOWN(VLOOKUP(D17,N24:O26,2,FALSE)/(E18+3),0)),0)</f>
        <v>1</v>
      </c>
      <c r="H17" s="56"/>
      <c r="I17" s="313"/>
      <c r="J17" s="313"/>
      <c r="K17" s="313"/>
      <c r="L17" s="170"/>
      <c r="M17" s="170" t="s">
        <v>75</v>
      </c>
      <c r="N17" s="170">
        <f>SUM(N13:N15)</f>
        <v>0</v>
      </c>
      <c r="O17" s="170" t="s">
        <v>210</v>
      </c>
      <c r="P17" s="170">
        <f>SUM(P13:P15)</f>
        <v>0</v>
      </c>
      <c r="Q17" s="170"/>
      <c r="R17" s="170"/>
      <c r="S17" s="170"/>
      <c r="T17" s="170"/>
    </row>
    <row r="18" spans="1:20" ht="17.25" thickBot="1">
      <c r="A18" s="52"/>
      <c r="B18" s="249" t="s">
        <v>156</v>
      </c>
      <c r="C18" s="250"/>
      <c r="D18" s="251"/>
      <c r="E18" s="153">
        <f>G12-8</f>
        <v>1073</v>
      </c>
      <c r="F18" s="251"/>
      <c r="G18" s="262"/>
      <c r="H18" s="56"/>
      <c r="I18" s="313"/>
      <c r="J18" s="313"/>
      <c r="K18" s="313"/>
      <c r="L18" s="170"/>
      <c r="M18" s="170"/>
      <c r="N18" s="170"/>
      <c r="O18" s="170"/>
      <c r="P18" s="170"/>
      <c r="Q18" s="170"/>
      <c r="R18" s="170"/>
      <c r="S18" s="170"/>
      <c r="T18" s="170"/>
    </row>
    <row r="19" spans="1:20" ht="17.25" thickBot="1">
      <c r="A19" s="52"/>
      <c r="B19" s="95" t="s">
        <v>198</v>
      </c>
      <c r="C19" s="96"/>
      <c r="D19" s="154" t="s">
        <v>15</v>
      </c>
      <c r="E19" s="154">
        <f>C7-77</f>
        <v>1323</v>
      </c>
      <c r="F19" s="158">
        <f>G7*G10</f>
        <v>12</v>
      </c>
      <c r="G19" s="159">
        <f>ROUNDUP(F19/(ROUNDDOWN(VLOOKUP(D19,N24:O26,2,FALSE)/(E19+3),0)),0)</f>
        <v>3</v>
      </c>
      <c r="H19" s="56"/>
      <c r="I19" s="313"/>
      <c r="J19" s="313"/>
      <c r="K19" s="313"/>
      <c r="L19" s="170"/>
      <c r="M19" s="170"/>
      <c r="N19" s="170"/>
      <c r="O19" s="170"/>
      <c r="P19" s="170"/>
      <c r="Q19" s="170"/>
      <c r="R19" s="170"/>
      <c r="S19" s="170"/>
      <c r="T19" s="170"/>
    </row>
    <row r="20" spans="1:20" ht="17.25" thickTop="1">
      <c r="A20" s="52"/>
      <c r="B20" s="66"/>
      <c r="C20" s="66"/>
      <c r="D20" s="65"/>
      <c r="E20" s="65"/>
      <c r="F20" s="84"/>
      <c r="G20" s="84"/>
      <c r="H20" s="56"/>
      <c r="I20" s="313"/>
      <c r="J20" s="313"/>
      <c r="K20" s="313"/>
      <c r="L20" s="170"/>
      <c r="M20" s="170" t="s">
        <v>14</v>
      </c>
      <c r="N20" s="170"/>
      <c r="O20" s="170"/>
      <c r="P20" s="170"/>
      <c r="Q20" s="170"/>
      <c r="R20" s="170"/>
      <c r="S20" s="170"/>
      <c r="T20" s="170"/>
    </row>
    <row r="21" spans="1:20" ht="17.25" thickBot="1">
      <c r="A21" s="52"/>
      <c r="B21" s="80"/>
      <c r="C21" s="80"/>
      <c r="D21" s="78"/>
      <c r="E21" s="78"/>
      <c r="F21" s="78"/>
      <c r="G21" s="78"/>
      <c r="H21" s="56"/>
      <c r="I21" s="313"/>
      <c r="J21" s="313"/>
      <c r="K21" s="313"/>
      <c r="L21" s="170"/>
      <c r="M21" s="170" t="s">
        <v>12</v>
      </c>
      <c r="N21" s="170"/>
      <c r="O21" s="170"/>
      <c r="P21" s="170"/>
      <c r="Q21" s="170"/>
      <c r="R21" s="170"/>
      <c r="S21" s="170"/>
      <c r="T21" s="170"/>
    </row>
    <row r="22" spans="1:20" ht="20.25" thickTop="1" thickBot="1">
      <c r="A22" s="52"/>
      <c r="B22" s="253" t="s">
        <v>78</v>
      </c>
      <c r="C22" s="254"/>
      <c r="D22" s="254"/>
      <c r="E22" s="254"/>
      <c r="F22" s="254"/>
      <c r="G22" s="255"/>
      <c r="H22" s="56"/>
      <c r="I22" s="313"/>
      <c r="J22" s="313"/>
      <c r="K22" s="313"/>
      <c r="L22" s="170"/>
      <c r="M22" s="170" t="s">
        <v>15</v>
      </c>
      <c r="N22" s="170"/>
      <c r="O22" s="170"/>
      <c r="P22" s="170"/>
      <c r="Q22" s="170"/>
      <c r="R22" s="170"/>
      <c r="S22" s="170"/>
      <c r="T22" s="170"/>
    </row>
    <row r="23" spans="1:20" ht="18" thickTop="1" thickBot="1">
      <c r="A23" s="52"/>
      <c r="B23" s="256" t="s">
        <v>79</v>
      </c>
      <c r="C23" s="257"/>
      <c r="D23" s="155" t="s">
        <v>80</v>
      </c>
      <c r="E23" s="155" t="s">
        <v>81</v>
      </c>
      <c r="F23" s="263" t="s">
        <v>70</v>
      </c>
      <c r="G23" s="264"/>
      <c r="H23" s="56"/>
      <c r="I23" s="313"/>
      <c r="J23" s="313"/>
      <c r="K23" s="313"/>
      <c r="L23" s="170"/>
      <c r="M23" s="170" t="s">
        <v>11</v>
      </c>
      <c r="N23" s="170"/>
      <c r="O23" s="170"/>
      <c r="P23" s="170"/>
      <c r="Q23" s="170"/>
      <c r="R23" s="170"/>
      <c r="S23" s="170"/>
      <c r="T23" s="170"/>
    </row>
    <row r="24" spans="1:20" ht="18" thickTop="1" thickBot="1">
      <c r="A24" s="52"/>
      <c r="B24" s="258" t="s">
        <v>82</v>
      </c>
      <c r="C24" s="259"/>
      <c r="D24" s="157">
        <v>317673</v>
      </c>
      <c r="E24" s="157" t="s">
        <v>83</v>
      </c>
      <c r="F24" s="265">
        <f>4*G7</f>
        <v>4</v>
      </c>
      <c r="G24" s="266"/>
      <c r="H24" s="56"/>
      <c r="I24" s="313"/>
      <c r="J24" s="313"/>
      <c r="K24" s="313"/>
      <c r="L24" s="170"/>
      <c r="M24" s="170" t="s">
        <v>10</v>
      </c>
      <c r="N24" s="170" t="s">
        <v>14</v>
      </c>
      <c r="O24" s="170">
        <v>6500</v>
      </c>
      <c r="P24" s="170"/>
      <c r="Q24" s="170"/>
      <c r="R24" s="170"/>
      <c r="S24" s="170"/>
      <c r="T24" s="170"/>
    </row>
    <row r="25" spans="1:20" ht="17.25" thickBot="1">
      <c r="A25" s="52"/>
      <c r="B25" s="249" t="s">
        <v>86</v>
      </c>
      <c r="C25" s="250"/>
      <c r="D25" s="153">
        <v>309327</v>
      </c>
      <c r="E25" s="153" t="s">
        <v>83</v>
      </c>
      <c r="F25" s="251">
        <f>4*G7</f>
        <v>4</v>
      </c>
      <c r="G25" s="252"/>
      <c r="H25" s="56"/>
      <c r="I25" s="313"/>
      <c r="J25" s="313"/>
      <c r="K25" s="313"/>
      <c r="L25" s="170"/>
      <c r="M25" s="170"/>
      <c r="N25" s="170" t="s">
        <v>12</v>
      </c>
      <c r="O25" s="170">
        <v>6500</v>
      </c>
      <c r="P25" s="170"/>
      <c r="Q25" s="170"/>
      <c r="R25" s="170"/>
      <c r="S25" s="170"/>
      <c r="T25" s="170"/>
    </row>
    <row r="26" spans="1:20" ht="17.25" thickBot="1">
      <c r="A26" s="52"/>
      <c r="B26" s="162" t="s">
        <v>84</v>
      </c>
      <c r="C26" s="163"/>
      <c r="D26" s="161">
        <v>317671</v>
      </c>
      <c r="E26" s="161" t="s">
        <v>83</v>
      </c>
      <c r="F26" s="276">
        <f>N17*G7</f>
        <v>0</v>
      </c>
      <c r="G26" s="277"/>
      <c r="H26" s="56"/>
      <c r="I26" s="313"/>
      <c r="J26" s="313"/>
      <c r="K26" s="313"/>
      <c r="L26" s="170"/>
      <c r="M26" s="170"/>
      <c r="N26" s="170" t="s">
        <v>15</v>
      </c>
      <c r="O26" s="170">
        <v>6500</v>
      </c>
      <c r="P26" s="170"/>
      <c r="Q26" s="170"/>
      <c r="R26" s="170"/>
      <c r="S26" s="170"/>
      <c r="T26" s="170"/>
    </row>
    <row r="27" spans="1:20" ht="17.25" thickBot="1">
      <c r="A27" s="52"/>
      <c r="B27" s="162" t="s">
        <v>85</v>
      </c>
      <c r="C27" s="163"/>
      <c r="D27" s="161">
        <v>317672</v>
      </c>
      <c r="E27" s="161" t="s">
        <v>83</v>
      </c>
      <c r="F27" s="276">
        <f>P17*G7</f>
        <v>0</v>
      </c>
      <c r="G27" s="277"/>
      <c r="H27" s="56"/>
      <c r="I27" s="313"/>
      <c r="J27" s="313"/>
      <c r="K27" s="313"/>
      <c r="L27" s="170"/>
      <c r="M27" s="170"/>
      <c r="N27" s="170"/>
      <c r="O27" s="170"/>
      <c r="P27" s="170"/>
      <c r="Q27" s="170"/>
      <c r="R27" s="170"/>
      <c r="S27" s="170"/>
      <c r="T27" s="170"/>
    </row>
    <row r="28" spans="1:20" ht="17.25" thickBot="1">
      <c r="A28" s="52"/>
      <c r="B28" s="268" t="s">
        <v>199</v>
      </c>
      <c r="C28" s="269"/>
      <c r="D28" s="153">
        <v>320002</v>
      </c>
      <c r="E28" s="153" t="s">
        <v>140</v>
      </c>
      <c r="F28" s="276">
        <f>G7*G10</f>
        <v>12</v>
      </c>
      <c r="G28" s="277"/>
      <c r="H28" s="56"/>
      <c r="I28" s="313"/>
      <c r="J28" s="313"/>
      <c r="K28" s="313"/>
      <c r="L28" s="313"/>
      <c r="M28" s="313"/>
      <c r="N28" s="313"/>
      <c r="O28" s="313"/>
      <c r="P28" s="313"/>
      <c r="Q28" s="313"/>
      <c r="R28" s="170"/>
      <c r="S28" s="170"/>
      <c r="T28" s="170"/>
    </row>
    <row r="29" spans="1:20" ht="17.25" thickBot="1">
      <c r="A29" s="52"/>
      <c r="B29" s="249" t="s">
        <v>137</v>
      </c>
      <c r="C29" s="250"/>
      <c r="D29" s="153">
        <v>300059</v>
      </c>
      <c r="E29" s="153" t="s">
        <v>83</v>
      </c>
      <c r="F29" s="276">
        <f>2*F28</f>
        <v>24</v>
      </c>
      <c r="G29" s="277"/>
      <c r="H29" s="56"/>
      <c r="I29" s="313"/>
      <c r="J29" s="313"/>
      <c r="K29" s="313"/>
      <c r="L29" s="313"/>
      <c r="M29" s="313"/>
      <c r="N29" s="313"/>
      <c r="O29" s="313"/>
      <c r="P29" s="313"/>
      <c r="Q29" s="313"/>
      <c r="R29" s="170"/>
      <c r="S29" s="170"/>
      <c r="T29" s="170"/>
    </row>
    <row r="30" spans="1:20" ht="17.25" thickBot="1">
      <c r="A30" s="52"/>
      <c r="B30" s="249" t="s">
        <v>136</v>
      </c>
      <c r="C30" s="250"/>
      <c r="D30" s="153">
        <v>317676</v>
      </c>
      <c r="E30" s="153" t="s">
        <v>83</v>
      </c>
      <c r="F30" s="260">
        <f>2*F28</f>
        <v>24</v>
      </c>
      <c r="G30" s="267"/>
      <c r="H30" s="56"/>
      <c r="I30" s="313"/>
      <c r="J30" s="313"/>
      <c r="K30" s="313"/>
      <c r="L30" s="313"/>
      <c r="M30" s="313"/>
      <c r="N30" s="313"/>
      <c r="O30" s="313"/>
      <c r="P30" s="313"/>
      <c r="Q30" s="313"/>
      <c r="R30" s="170"/>
      <c r="S30" s="170"/>
      <c r="T30" s="170"/>
    </row>
    <row r="31" spans="1:20" ht="17.25" thickBot="1">
      <c r="A31" s="52"/>
      <c r="B31" s="268" t="s">
        <v>193</v>
      </c>
      <c r="C31" s="269"/>
      <c r="D31" s="153">
        <v>309153</v>
      </c>
      <c r="E31" s="153" t="s">
        <v>83</v>
      </c>
      <c r="F31" s="270">
        <f>4*G7</f>
        <v>4</v>
      </c>
      <c r="G31" s="271"/>
      <c r="H31" s="56"/>
      <c r="I31" s="170"/>
      <c r="J31" s="170"/>
      <c r="K31" s="170"/>
      <c r="L31" s="170"/>
      <c r="M31" s="170"/>
      <c r="N31" s="170"/>
      <c r="O31" s="170"/>
      <c r="P31" s="170"/>
      <c r="Q31" s="170"/>
      <c r="R31" s="170"/>
      <c r="S31" s="170"/>
      <c r="T31" s="170"/>
    </row>
    <row r="32" spans="1:20" ht="17.25" thickBot="1">
      <c r="A32" s="52"/>
      <c r="B32" s="249" t="s">
        <v>87</v>
      </c>
      <c r="C32" s="250"/>
      <c r="D32" s="103" t="s">
        <v>159</v>
      </c>
      <c r="E32" s="153" t="s">
        <v>83</v>
      </c>
      <c r="F32" s="260">
        <f>MAX((2*(ROUNDUP((E16/300),0)+1)*G7),4)</f>
        <v>10</v>
      </c>
      <c r="G32" s="267"/>
      <c r="H32" s="56"/>
      <c r="I32" s="170"/>
      <c r="J32" s="170"/>
      <c r="K32" s="170"/>
      <c r="L32" s="170"/>
      <c r="M32" s="170"/>
      <c r="N32" s="170"/>
      <c r="O32" s="170"/>
      <c r="P32" s="170"/>
      <c r="Q32" s="170"/>
      <c r="R32" s="170"/>
      <c r="S32" s="170"/>
      <c r="T32" s="170">
        <f>E18*F17</f>
        <v>2146</v>
      </c>
    </row>
    <row r="33" spans="1:20" ht="17.25" thickBot="1">
      <c r="A33" s="52"/>
      <c r="B33" s="249" t="s">
        <v>88</v>
      </c>
      <c r="C33" s="250"/>
      <c r="D33" s="153">
        <v>306668</v>
      </c>
      <c r="E33" s="153" t="s">
        <v>83</v>
      </c>
      <c r="F33" s="251">
        <f>F17</f>
        <v>2</v>
      </c>
      <c r="G33" s="252"/>
      <c r="H33" s="56"/>
      <c r="I33" s="170"/>
      <c r="J33" s="170"/>
      <c r="K33" s="170"/>
      <c r="L33" s="170"/>
      <c r="M33" s="170"/>
      <c r="N33" s="170"/>
      <c r="O33" s="170"/>
      <c r="P33" s="170"/>
      <c r="Q33" s="170"/>
      <c r="R33" s="170"/>
      <c r="S33" s="170"/>
      <c r="T33" s="170"/>
    </row>
    <row r="34" spans="1:20" ht="17.25" thickBot="1">
      <c r="A34" s="52"/>
      <c r="B34" s="272" t="s">
        <v>23</v>
      </c>
      <c r="C34" s="273"/>
      <c r="D34" s="154">
        <v>301405</v>
      </c>
      <c r="E34" s="154" t="s">
        <v>83</v>
      </c>
      <c r="F34" s="274">
        <f>F17</f>
        <v>2</v>
      </c>
      <c r="G34" s="275"/>
      <c r="H34" s="56"/>
      <c r="I34" s="170"/>
      <c r="J34" s="170"/>
      <c r="K34" s="170"/>
      <c r="L34" s="170"/>
      <c r="M34" s="170"/>
      <c r="N34" s="170"/>
      <c r="O34" s="170"/>
      <c r="P34" s="170"/>
      <c r="Q34" s="170"/>
      <c r="R34" s="170"/>
      <c r="S34" s="170"/>
      <c r="T34" s="170">
        <f>SUM(T32:T33)</f>
        <v>2146</v>
      </c>
    </row>
    <row r="35" spans="1:20" ht="17.25" thickTop="1">
      <c r="A35" s="33"/>
      <c r="B35" s="9"/>
      <c r="C35" s="9"/>
      <c r="D35" s="10"/>
      <c r="E35" s="10"/>
      <c r="F35" s="11"/>
      <c r="G35" s="11"/>
      <c r="H35" s="34"/>
      <c r="I35" s="170"/>
      <c r="J35" s="170"/>
      <c r="K35" s="170"/>
      <c r="L35" s="170"/>
      <c r="M35" s="170"/>
      <c r="N35" s="170"/>
      <c r="O35" s="170"/>
      <c r="P35" s="170"/>
      <c r="Q35" s="170"/>
      <c r="R35" s="170"/>
      <c r="S35" s="170"/>
      <c r="T35" s="170">
        <f>T34/6500</f>
        <v>0.33015384615384613</v>
      </c>
    </row>
    <row r="36" spans="1:20" ht="16.5">
      <c r="A36" s="33"/>
      <c r="B36" s="11"/>
      <c r="C36" s="11"/>
      <c r="D36" s="11"/>
      <c r="E36" s="11"/>
      <c r="F36" s="11"/>
      <c r="G36" s="11"/>
      <c r="H36" s="34"/>
      <c r="I36" s="170"/>
      <c r="J36" s="170"/>
      <c r="K36" s="170"/>
      <c r="L36" s="170"/>
      <c r="M36" s="170"/>
      <c r="N36" s="170"/>
      <c r="O36" s="170"/>
      <c r="P36" s="170"/>
      <c r="Q36" s="170"/>
      <c r="R36" s="170"/>
      <c r="S36" s="170"/>
      <c r="T36" s="170"/>
    </row>
    <row r="37" spans="1:20" ht="16.5">
      <c r="A37" s="33"/>
      <c r="B37" s="11"/>
      <c r="C37" s="11"/>
      <c r="D37" s="11"/>
      <c r="E37" s="11"/>
      <c r="F37" s="11"/>
      <c r="G37" s="11"/>
      <c r="H37" s="37"/>
      <c r="I37" s="170"/>
      <c r="J37" s="170"/>
      <c r="K37" s="170"/>
      <c r="L37" s="170"/>
      <c r="M37" s="170"/>
      <c r="N37" s="170"/>
      <c r="O37" s="170"/>
      <c r="P37" s="170"/>
      <c r="Q37" s="170"/>
      <c r="R37" s="170"/>
      <c r="S37" s="170"/>
      <c r="T37" s="170"/>
    </row>
    <row r="38" spans="1:20" ht="16.5">
      <c r="A38" s="38"/>
      <c r="B38" s="11"/>
      <c r="C38" s="11"/>
      <c r="D38" s="11"/>
      <c r="E38" s="11"/>
      <c r="F38" s="11"/>
      <c r="G38" s="11"/>
      <c r="H38" s="37"/>
      <c r="I38" s="170"/>
      <c r="J38" s="170"/>
      <c r="K38" s="170"/>
      <c r="L38" s="170"/>
      <c r="M38" s="170"/>
      <c r="N38" s="170"/>
      <c r="O38" s="170"/>
      <c r="P38" s="170"/>
      <c r="Q38" s="170"/>
      <c r="R38" s="170"/>
      <c r="S38" s="170"/>
      <c r="T38" s="170"/>
    </row>
    <row r="39" spans="1:20" ht="16.5">
      <c r="A39" s="38"/>
      <c r="B39" s="11"/>
      <c r="C39" s="11"/>
      <c r="D39" s="11"/>
      <c r="E39" s="11"/>
      <c r="F39" s="11"/>
      <c r="G39" s="11"/>
      <c r="H39" s="37"/>
      <c r="I39" s="170"/>
      <c r="J39" s="170"/>
      <c r="K39" s="170"/>
      <c r="L39" s="170"/>
      <c r="M39" s="170"/>
      <c r="N39" s="170"/>
      <c r="O39" s="170"/>
      <c r="P39" s="170"/>
      <c r="Q39" s="170"/>
      <c r="R39" s="170"/>
      <c r="S39" s="170"/>
      <c r="T39" s="170"/>
    </row>
    <row r="40" spans="1:20" ht="15" customHeight="1">
      <c r="A40" s="38"/>
      <c r="B40" s="11"/>
      <c r="C40" s="11"/>
      <c r="D40" s="11"/>
      <c r="E40" s="11"/>
      <c r="F40" s="11"/>
      <c r="G40" s="11"/>
      <c r="H40" s="37"/>
      <c r="I40" s="170"/>
      <c r="J40" s="170"/>
      <c r="K40" s="170"/>
      <c r="L40" s="170"/>
      <c r="M40" s="170"/>
      <c r="N40" s="170"/>
      <c r="O40" s="170"/>
      <c r="P40" s="170"/>
      <c r="Q40" s="170"/>
      <c r="R40" s="170"/>
      <c r="S40" s="170"/>
      <c r="T40" s="170"/>
    </row>
    <row r="41" spans="1:20" ht="15" customHeight="1">
      <c r="A41" s="38"/>
      <c r="B41" s="11"/>
      <c r="C41" s="11"/>
      <c r="D41" s="11"/>
      <c r="E41" s="11"/>
      <c r="F41" s="11"/>
      <c r="G41" s="11"/>
      <c r="H41" s="37"/>
      <c r="I41" s="170"/>
      <c r="J41" s="170"/>
      <c r="K41" s="170"/>
      <c r="L41" s="170"/>
      <c r="M41" s="170"/>
      <c r="N41" s="170"/>
      <c r="O41" s="170"/>
      <c r="P41" s="170"/>
      <c r="Q41" s="170"/>
      <c r="R41" s="170"/>
      <c r="S41" s="170"/>
      <c r="T41" s="170"/>
    </row>
    <row r="42" spans="1:20" ht="15" customHeight="1">
      <c r="A42" s="38"/>
      <c r="B42" s="11"/>
      <c r="C42" s="11"/>
      <c r="D42" s="11"/>
      <c r="E42" s="11"/>
      <c r="F42" s="11"/>
      <c r="G42" s="11"/>
      <c r="H42" s="37"/>
      <c r="I42" s="170"/>
      <c r="J42" s="170"/>
      <c r="K42" s="170"/>
      <c r="L42" s="170"/>
      <c r="M42" s="170"/>
      <c r="N42" s="170"/>
      <c r="O42" s="170"/>
      <c r="P42" s="170"/>
      <c r="Q42" s="170"/>
      <c r="R42" s="170"/>
      <c r="S42" s="170"/>
      <c r="T42" s="170"/>
    </row>
    <row r="43" spans="1:20" ht="15" customHeight="1">
      <c r="A43" s="38"/>
      <c r="B43" s="11"/>
      <c r="C43" s="11"/>
      <c r="D43" s="11"/>
      <c r="E43" s="11"/>
      <c r="F43" s="11"/>
      <c r="G43" s="11"/>
      <c r="H43" s="37"/>
      <c r="I43" s="170"/>
      <c r="J43" s="170"/>
      <c r="K43" s="170"/>
      <c r="L43" s="170"/>
      <c r="M43" s="170"/>
      <c r="N43" s="170"/>
      <c r="O43" s="170"/>
      <c r="P43" s="170"/>
      <c r="Q43" s="170"/>
      <c r="R43" s="170"/>
      <c r="S43" s="170"/>
      <c r="T43" s="170"/>
    </row>
    <row r="44" spans="1:20" ht="15" customHeight="1">
      <c r="A44" s="38"/>
      <c r="B44" s="11"/>
      <c r="C44" s="11"/>
      <c r="D44" s="11"/>
      <c r="E44" s="11"/>
      <c r="F44" s="11"/>
      <c r="G44" s="11"/>
      <c r="H44" s="37"/>
      <c r="I44" s="170"/>
      <c r="J44" s="170"/>
      <c r="K44" s="170"/>
      <c r="L44" s="170"/>
      <c r="M44" s="170"/>
      <c r="N44" s="170"/>
      <c r="O44" s="170"/>
      <c r="P44" s="170"/>
      <c r="Q44" s="170"/>
      <c r="R44" s="170"/>
      <c r="S44" s="170"/>
      <c r="T44" s="170"/>
    </row>
    <row r="45" spans="1:20" ht="15" customHeight="1">
      <c r="A45" s="38"/>
      <c r="B45" s="11"/>
      <c r="C45" s="11"/>
      <c r="D45" s="11"/>
      <c r="E45" s="11"/>
      <c r="F45" s="11"/>
      <c r="G45" s="11"/>
      <c r="H45" s="37"/>
      <c r="I45" s="170"/>
      <c r="J45" s="170"/>
      <c r="K45" s="170"/>
      <c r="L45" s="170"/>
      <c r="M45" s="170"/>
      <c r="N45" s="170"/>
      <c r="O45" s="170"/>
      <c r="P45" s="170"/>
      <c r="Q45" s="170"/>
      <c r="R45" s="170"/>
      <c r="S45" s="170"/>
      <c r="T45" s="170"/>
    </row>
    <row r="46" spans="1:20" ht="15" customHeight="1">
      <c r="A46" s="38"/>
      <c r="B46" s="11"/>
      <c r="C46" s="11"/>
      <c r="D46" s="11"/>
      <c r="E46" s="11"/>
      <c r="F46" s="11"/>
      <c r="G46" s="11"/>
      <c r="H46" s="37"/>
      <c r="I46" s="170"/>
      <c r="J46" s="170"/>
      <c r="K46" s="170"/>
      <c r="L46" s="170"/>
      <c r="M46" s="170"/>
      <c r="N46" s="170"/>
      <c r="O46" s="170"/>
      <c r="P46" s="170"/>
      <c r="Q46" s="170"/>
      <c r="R46" s="170"/>
      <c r="S46" s="170"/>
      <c r="T46" s="170"/>
    </row>
    <row r="47" spans="1:20" ht="15" customHeight="1">
      <c r="A47" s="38"/>
      <c r="B47" s="11"/>
      <c r="C47" s="11"/>
      <c r="D47" s="11"/>
      <c r="E47" s="11"/>
      <c r="F47" s="11"/>
      <c r="G47" s="11"/>
      <c r="H47" s="37"/>
    </row>
    <row r="48" spans="1:20" ht="15" customHeight="1">
      <c r="A48" s="38"/>
      <c r="B48" s="11"/>
      <c r="C48" s="11"/>
      <c r="D48" s="11"/>
      <c r="E48" s="11"/>
      <c r="F48" s="11"/>
      <c r="G48" s="11"/>
      <c r="H48" s="37"/>
    </row>
    <row r="49" spans="1:8" ht="15" customHeight="1">
      <c r="A49" s="38"/>
      <c r="B49" s="11"/>
      <c r="C49" s="11"/>
      <c r="D49" s="11"/>
      <c r="E49" s="11"/>
      <c r="F49" s="11"/>
      <c r="G49" s="11"/>
      <c r="H49" s="37"/>
    </row>
    <row r="50" spans="1:8" ht="15" customHeight="1">
      <c r="A50" s="38"/>
      <c r="B50" s="11"/>
      <c r="C50" s="11"/>
      <c r="D50" s="11"/>
      <c r="E50" s="11"/>
      <c r="F50" s="11"/>
      <c r="G50" s="11"/>
      <c r="H50" s="37"/>
    </row>
    <row r="51" spans="1:8" ht="15" customHeight="1">
      <c r="A51" s="38"/>
      <c r="B51" s="11"/>
      <c r="C51" s="312" t="s">
        <v>194</v>
      </c>
      <c r="D51" s="312"/>
      <c r="E51" s="312"/>
      <c r="F51" s="312"/>
      <c r="G51" s="11"/>
      <c r="H51" s="37"/>
    </row>
    <row r="52" spans="1:8" ht="21.75" customHeight="1">
      <c r="A52" s="38"/>
      <c r="B52" s="11"/>
      <c r="C52" s="312"/>
      <c r="D52" s="312"/>
      <c r="E52" s="312"/>
      <c r="F52" s="312"/>
      <c r="G52" s="11"/>
      <c r="H52" s="37"/>
    </row>
    <row r="53" spans="1:8" ht="15" customHeight="1">
      <c r="A53" s="38"/>
      <c r="B53" s="11"/>
      <c r="C53" s="11"/>
      <c r="D53" s="11"/>
      <c r="E53" s="11"/>
      <c r="F53" s="11"/>
      <c r="G53" s="11"/>
      <c r="H53" s="37"/>
    </row>
    <row r="54" spans="1:8" ht="15" customHeight="1">
      <c r="A54" s="38"/>
      <c r="B54" s="11"/>
      <c r="C54" s="11"/>
      <c r="D54" s="11"/>
      <c r="E54" s="11"/>
      <c r="F54" s="11"/>
      <c r="G54" s="11"/>
      <c r="H54" s="37"/>
    </row>
    <row r="55" spans="1:8" ht="15" customHeight="1">
      <c r="A55" s="38"/>
      <c r="B55" s="11"/>
      <c r="C55" s="11"/>
      <c r="D55" s="11"/>
      <c r="E55" s="11"/>
      <c r="F55" s="11"/>
      <c r="G55" s="11"/>
      <c r="H55" s="37"/>
    </row>
    <row r="56" spans="1:8" ht="15" customHeight="1">
      <c r="A56" s="38"/>
      <c r="B56" s="11"/>
      <c r="C56" s="11"/>
      <c r="D56" s="11"/>
      <c r="E56" s="11"/>
      <c r="F56" s="11"/>
      <c r="G56" s="11"/>
      <c r="H56" s="37"/>
    </row>
    <row r="57" spans="1:8" ht="15" customHeight="1">
      <c r="A57" s="38"/>
      <c r="B57" s="11"/>
      <c r="C57" s="11"/>
      <c r="D57" s="11"/>
      <c r="E57" s="11"/>
      <c r="F57" s="11"/>
      <c r="G57" s="11"/>
      <c r="H57" s="37"/>
    </row>
    <row r="58" spans="1:8" ht="15" customHeight="1">
      <c r="A58" s="38"/>
      <c r="B58" s="11"/>
      <c r="C58" s="11"/>
      <c r="D58" s="11"/>
      <c r="E58" s="11"/>
      <c r="F58" s="11"/>
      <c r="G58" s="11"/>
      <c r="H58" s="37"/>
    </row>
    <row r="59" spans="1:8" ht="15" customHeight="1">
      <c r="A59" s="38"/>
      <c r="B59" s="11"/>
      <c r="C59" s="11"/>
      <c r="D59" s="11"/>
      <c r="E59" s="11"/>
      <c r="F59" s="11"/>
      <c r="G59" s="11"/>
      <c r="H59" s="37"/>
    </row>
    <row r="60" spans="1:8" ht="15" customHeight="1">
      <c r="A60" s="38"/>
      <c r="B60" s="11"/>
      <c r="C60" s="11"/>
      <c r="D60" s="11"/>
      <c r="E60" s="11"/>
      <c r="F60" s="11"/>
      <c r="G60" s="11"/>
      <c r="H60" s="37"/>
    </row>
    <row r="61" spans="1:8" ht="15" customHeight="1">
      <c r="A61" s="38"/>
      <c r="B61" s="11"/>
      <c r="C61" s="11"/>
      <c r="D61" s="11"/>
      <c r="E61" s="11"/>
      <c r="F61" s="11"/>
      <c r="G61" s="11"/>
      <c r="H61" s="37"/>
    </row>
    <row r="62" spans="1:8" ht="15" customHeight="1">
      <c r="A62" s="38"/>
      <c r="B62" s="11"/>
      <c r="C62" s="11"/>
      <c r="D62" s="11"/>
      <c r="E62" s="11"/>
      <c r="F62" s="11"/>
      <c r="G62" s="11"/>
      <c r="H62" s="37"/>
    </row>
    <row r="63" spans="1:8" ht="15" customHeight="1">
      <c r="A63" s="38"/>
      <c r="H63" s="37"/>
    </row>
    <row r="64" spans="1:8" ht="15" customHeight="1">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sheetData>
  <sheetProtection password="DE70" sheet="1" objects="1" scenarios="1"/>
  <mergeCells count="39">
    <mergeCell ref="B30:C30"/>
    <mergeCell ref="F30:G30"/>
    <mergeCell ref="B34:C34"/>
    <mergeCell ref="F34:G34"/>
    <mergeCell ref="B64:G66"/>
    <mergeCell ref="C51:F52"/>
    <mergeCell ref="B31:C31"/>
    <mergeCell ref="F31:G31"/>
    <mergeCell ref="B32:C32"/>
    <mergeCell ref="F32:G32"/>
    <mergeCell ref="B33:C33"/>
    <mergeCell ref="F33:G33"/>
    <mergeCell ref="B24:C24"/>
    <mergeCell ref="F24:G24"/>
    <mergeCell ref="B28:C28"/>
    <mergeCell ref="F28:G28"/>
    <mergeCell ref="B29:C29"/>
    <mergeCell ref="F29:G29"/>
    <mergeCell ref="G17:G18"/>
    <mergeCell ref="B18:C18"/>
    <mergeCell ref="B22:G22"/>
    <mergeCell ref="B23:C23"/>
    <mergeCell ref="F23:G23"/>
    <mergeCell ref="A5:H5"/>
    <mergeCell ref="F26:G26"/>
    <mergeCell ref="F27:G27"/>
    <mergeCell ref="A1:H2"/>
    <mergeCell ref="A3:C3"/>
    <mergeCell ref="D3:H3"/>
    <mergeCell ref="A4:C4"/>
    <mergeCell ref="D4:H4"/>
    <mergeCell ref="B25:C25"/>
    <mergeCell ref="F25:G25"/>
    <mergeCell ref="B14:G14"/>
    <mergeCell ref="B15:C15"/>
    <mergeCell ref="B16:C16"/>
    <mergeCell ref="B17:C17"/>
    <mergeCell ref="D17:D18"/>
    <mergeCell ref="F17:F18"/>
  </mergeCells>
  <dataValidations disablePrompts="1" count="1">
    <dataValidation type="list" allowBlank="1" showInputMessage="1" showErrorMessage="1" sqref="B10:D10">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1.2 - Jan' 2018&amp;R&amp;A</oddFooter>
  </headerFooter>
  <drawing r:id="rId2"/>
</worksheet>
</file>

<file path=xl/worksheets/sheet15.xml><?xml version="1.0" encoding="utf-8"?>
<worksheet xmlns="http://schemas.openxmlformats.org/spreadsheetml/2006/main" xmlns:r="http://schemas.openxmlformats.org/officeDocument/2006/relationships">
  <dimension ref="A1:W68"/>
  <sheetViews>
    <sheetView showGridLines="0" showWhiteSpace="0" view="pageLayout" zoomScaleNormal="100" zoomScaleSheetLayoutView="100" workbookViewId="0">
      <selection activeCell="G11" sqref="G11"/>
    </sheetView>
  </sheetViews>
  <sheetFormatPr defaultColWidth="9.125" defaultRowHeight="15"/>
  <cols>
    <col min="1" max="1" width="1.375" style="46" customWidth="1"/>
    <col min="2" max="3" width="24.625" style="46" customWidth="1"/>
    <col min="4" max="7" width="24.625" style="12" customWidth="1"/>
    <col min="8" max="8" width="1.375" style="46" customWidth="1"/>
    <col min="9" max="12" width="9.125" style="124"/>
    <col min="13" max="14" width="21.625" style="124" customWidth="1"/>
    <col min="15" max="15" width="9.125" style="124"/>
    <col min="16" max="16" width="20.125" style="124" customWidth="1"/>
    <col min="17" max="23" width="9.125" style="124"/>
    <col min="24" max="16384" width="9.125" style="46"/>
  </cols>
  <sheetData>
    <row r="1" spans="1:21" ht="16.5" thickTop="1" thickBot="1">
      <c r="A1" s="221"/>
      <c r="B1" s="222"/>
      <c r="C1" s="222"/>
      <c r="D1" s="222"/>
      <c r="E1" s="222"/>
      <c r="F1" s="222"/>
      <c r="G1" s="222"/>
      <c r="H1" s="238"/>
      <c r="N1" s="176"/>
      <c r="O1" s="176"/>
      <c r="P1" s="176"/>
      <c r="Q1" s="176"/>
      <c r="R1" s="176"/>
      <c r="S1" s="176"/>
      <c r="T1" s="176"/>
      <c r="U1" s="176"/>
    </row>
    <row r="2" spans="1:21" ht="111.75" customHeight="1" thickBot="1">
      <c r="A2" s="223"/>
      <c r="B2" s="224"/>
      <c r="C2" s="224"/>
      <c r="D2" s="224"/>
      <c r="E2" s="224"/>
      <c r="F2" s="224"/>
      <c r="G2" s="224"/>
      <c r="H2" s="239"/>
    </row>
    <row r="3" spans="1:21" ht="41.25" customHeight="1" thickBot="1">
      <c r="A3" s="240" t="s">
        <v>152</v>
      </c>
      <c r="B3" s="241"/>
      <c r="C3" s="241"/>
      <c r="D3" s="242" t="s">
        <v>151</v>
      </c>
      <c r="E3" s="243"/>
      <c r="F3" s="243"/>
      <c r="G3" s="243"/>
      <c r="H3" s="244"/>
    </row>
    <row r="4" spans="1:21" ht="75" customHeight="1" thickBot="1">
      <c r="A4" s="245" t="s">
        <v>153</v>
      </c>
      <c r="B4" s="246"/>
      <c r="C4" s="247"/>
      <c r="D4" s="241" t="s">
        <v>154</v>
      </c>
      <c r="E4" s="241"/>
      <c r="F4" s="241"/>
      <c r="G4" s="241"/>
      <c r="H4" s="248"/>
    </row>
    <row r="5" spans="1:21" ht="37.5" customHeight="1" thickTop="1" thickBot="1">
      <c r="A5" s="235" t="s">
        <v>138</v>
      </c>
      <c r="B5" s="236"/>
      <c r="C5" s="236"/>
      <c r="D5" s="236"/>
      <c r="E5" s="236"/>
      <c r="F5" s="236"/>
      <c r="G5" s="236"/>
      <c r="H5" s="237"/>
      <c r="N5" s="170"/>
      <c r="O5" s="170"/>
      <c r="P5" s="170"/>
      <c r="Q5" s="170"/>
      <c r="R5" s="170"/>
      <c r="S5" s="170"/>
      <c r="T5" s="170"/>
    </row>
    <row r="6" spans="1:21" ht="18" thickTop="1" thickBot="1">
      <c r="A6" s="48"/>
      <c r="B6" s="49"/>
      <c r="C6" s="49"/>
      <c r="D6" s="50"/>
      <c r="E6" s="50"/>
      <c r="F6" s="50"/>
      <c r="G6" s="50"/>
      <c r="H6" s="51"/>
      <c r="M6" s="124" t="s">
        <v>53</v>
      </c>
      <c r="N6" s="170"/>
      <c r="O6" s="170"/>
      <c r="P6" s="170"/>
      <c r="Q6" s="170"/>
      <c r="R6" s="170"/>
      <c r="S6" s="170"/>
      <c r="T6" s="170"/>
    </row>
    <row r="7" spans="1:21" ht="18" thickTop="1" thickBot="1">
      <c r="A7" s="52"/>
      <c r="B7" s="53" t="s">
        <v>90</v>
      </c>
      <c r="C7" s="32">
        <v>1000</v>
      </c>
      <c r="D7" s="54" t="s">
        <v>92</v>
      </c>
      <c r="E7" s="32">
        <v>1000</v>
      </c>
      <c r="F7" s="54" t="s">
        <v>62</v>
      </c>
      <c r="G7" s="87">
        <v>1</v>
      </c>
      <c r="H7" s="56"/>
      <c r="M7" s="124">
        <v>10</v>
      </c>
      <c r="N7" s="170"/>
      <c r="O7" s="170"/>
      <c r="P7" s="170"/>
      <c r="Q7" s="170"/>
      <c r="R7" s="170"/>
      <c r="S7" s="170"/>
      <c r="T7" s="170"/>
    </row>
    <row r="8" spans="1:21" ht="18" thickTop="1" thickBot="1">
      <c r="A8" s="57"/>
      <c r="B8" s="90"/>
      <c r="C8" s="91"/>
      <c r="D8" s="60"/>
      <c r="E8" s="61"/>
      <c r="F8" s="62"/>
      <c r="G8" s="63">
        <v>3</v>
      </c>
      <c r="H8" s="56"/>
      <c r="M8" s="124">
        <v>20</v>
      </c>
      <c r="N8" s="170"/>
      <c r="O8" s="170"/>
      <c r="P8" s="170"/>
      <c r="Q8" s="170"/>
      <c r="R8" s="170"/>
      <c r="S8" s="170"/>
      <c r="T8" s="170"/>
    </row>
    <row r="9" spans="1:21" ht="18" thickTop="1" thickBot="1">
      <c r="A9" s="57"/>
      <c r="B9" s="69" t="s">
        <v>57</v>
      </c>
      <c r="C9" s="69" t="s">
        <v>58</v>
      </c>
      <c r="D9" s="69" t="s">
        <v>59</v>
      </c>
      <c r="E9" s="70" t="s">
        <v>60</v>
      </c>
      <c r="F9" s="54" t="s">
        <v>61</v>
      </c>
      <c r="G9" s="94" t="s">
        <v>56</v>
      </c>
      <c r="H9" s="56"/>
      <c r="I9" s="170"/>
      <c r="J9" s="170"/>
      <c r="K9" s="170"/>
      <c r="L9" s="170"/>
      <c r="M9" s="170"/>
      <c r="N9" s="170"/>
      <c r="O9" s="170"/>
      <c r="P9" s="170"/>
      <c r="Q9" s="170"/>
      <c r="R9" s="170"/>
      <c r="S9" s="170"/>
      <c r="T9" s="170"/>
    </row>
    <row r="10" spans="1:21" ht="18" thickTop="1" thickBot="1">
      <c r="A10" s="57"/>
      <c r="B10" s="30">
        <v>10</v>
      </c>
      <c r="C10" s="30"/>
      <c r="D10" s="30"/>
      <c r="E10" s="71">
        <f>B10+C10+D10</f>
        <v>10</v>
      </c>
      <c r="F10" s="77">
        <f>(E7-45)/(50+E10)</f>
        <v>15.916666666666666</v>
      </c>
      <c r="G10" s="47">
        <v>16</v>
      </c>
      <c r="H10" s="56"/>
      <c r="I10" s="170"/>
      <c r="J10" s="170"/>
      <c r="K10" s="170"/>
      <c r="L10" s="170"/>
      <c r="M10" s="170"/>
      <c r="N10" s="170"/>
      <c r="O10" s="170"/>
      <c r="P10" s="170"/>
      <c r="Q10" s="170"/>
      <c r="R10" s="170"/>
      <c r="S10" s="170"/>
      <c r="T10" s="170"/>
    </row>
    <row r="11" spans="1:21" ht="18" thickTop="1" thickBot="1">
      <c r="A11" s="57"/>
      <c r="B11" s="90"/>
      <c r="C11" s="91"/>
      <c r="D11" s="60"/>
      <c r="E11" s="61"/>
      <c r="F11" s="62"/>
      <c r="G11" s="63"/>
      <c r="H11" s="56"/>
      <c r="I11" s="170"/>
      <c r="J11" s="170"/>
      <c r="K11" s="170"/>
      <c r="L11" s="170"/>
      <c r="M11" s="170"/>
      <c r="N11" s="170"/>
      <c r="O11" s="170"/>
      <c r="P11" s="170"/>
      <c r="Q11" s="170"/>
      <c r="R11" s="170"/>
      <c r="S11" s="170"/>
      <c r="T11" s="170"/>
    </row>
    <row r="12" spans="1:21" ht="30" thickTop="1" thickBot="1">
      <c r="A12" s="105"/>
      <c r="B12" s="104" t="s">
        <v>161</v>
      </c>
      <c r="C12" s="64">
        <f>C7*G7+(G7*50+50)</f>
        <v>1100</v>
      </c>
      <c r="D12" s="104" t="s">
        <v>164</v>
      </c>
      <c r="E12" s="64">
        <f>(50*G10)+(E10*(G10-1))+45</f>
        <v>995</v>
      </c>
      <c r="F12" s="104" t="s">
        <v>165</v>
      </c>
      <c r="G12" s="64">
        <f>(50*G10)+(E10*(G10-1))+45+58</f>
        <v>1053</v>
      </c>
      <c r="H12" s="56"/>
      <c r="I12" s="170"/>
      <c r="J12" s="170"/>
      <c r="K12" s="170"/>
      <c r="L12" s="170"/>
      <c r="M12" s="170" t="s">
        <v>63</v>
      </c>
      <c r="N12" s="171">
        <f>(G10-1)*2</f>
        <v>30</v>
      </c>
      <c r="O12" s="170"/>
      <c r="P12" s="170"/>
      <c r="Q12" s="170"/>
      <c r="R12" s="170"/>
      <c r="S12" s="170"/>
      <c r="T12" s="170"/>
    </row>
    <row r="13" spans="1:21" ht="18" thickTop="1" thickBot="1">
      <c r="A13" s="52"/>
      <c r="B13" s="102" t="s">
        <v>158</v>
      </c>
      <c r="C13" s="66"/>
      <c r="D13" s="65"/>
      <c r="E13" s="101" t="s">
        <v>157</v>
      </c>
      <c r="F13" s="100"/>
      <c r="G13" s="99" t="s">
        <v>157</v>
      </c>
      <c r="H13" s="56"/>
      <c r="I13" s="170"/>
      <c r="J13" s="170"/>
      <c r="K13" s="170"/>
      <c r="L13" s="170"/>
      <c r="M13" s="170" t="s">
        <v>64</v>
      </c>
      <c r="N13" s="170">
        <f>IF(B10=10,N12,"")</f>
        <v>30</v>
      </c>
      <c r="O13" s="170" t="s">
        <v>65</v>
      </c>
      <c r="P13" s="170" t="str">
        <f>IF(B10=20,N12,"")</f>
        <v/>
      </c>
      <c r="Q13" s="170"/>
      <c r="R13" s="170"/>
      <c r="S13" s="170"/>
      <c r="T13" s="170"/>
    </row>
    <row r="14" spans="1:21" ht="20.25" thickTop="1" thickBot="1">
      <c r="A14" s="52"/>
      <c r="B14" s="253" t="s">
        <v>66</v>
      </c>
      <c r="C14" s="254"/>
      <c r="D14" s="254"/>
      <c r="E14" s="254"/>
      <c r="F14" s="254"/>
      <c r="G14" s="255"/>
      <c r="H14" s="56"/>
      <c r="I14" s="170"/>
      <c r="J14" s="170"/>
      <c r="K14" s="170"/>
      <c r="L14" s="170"/>
      <c r="M14" s="170" t="s">
        <v>67</v>
      </c>
      <c r="N14" s="170" t="str">
        <f>IF(C10=10,N12,"")</f>
        <v/>
      </c>
      <c r="O14" s="170" t="s">
        <v>68</v>
      </c>
      <c r="P14" s="170" t="str">
        <f>IF(C10=20,N12,"")</f>
        <v/>
      </c>
      <c r="Q14" s="170"/>
      <c r="R14" s="170"/>
      <c r="S14" s="170"/>
      <c r="T14" s="170"/>
    </row>
    <row r="15" spans="1:21" ht="18" thickTop="1" thickBot="1">
      <c r="A15" s="52"/>
      <c r="B15" s="256" t="s">
        <v>47</v>
      </c>
      <c r="C15" s="257"/>
      <c r="D15" s="155" t="s">
        <v>69</v>
      </c>
      <c r="E15" s="155" t="s">
        <v>1</v>
      </c>
      <c r="F15" s="155" t="s">
        <v>70</v>
      </c>
      <c r="G15" s="156" t="s">
        <v>71</v>
      </c>
      <c r="H15" s="56"/>
      <c r="I15" s="170"/>
      <c r="J15" s="170"/>
      <c r="K15" s="170"/>
      <c r="L15" s="170"/>
      <c r="M15" s="170" t="s">
        <v>72</v>
      </c>
      <c r="N15" s="170" t="str">
        <f>IF(D10=10,N12,"")</f>
        <v/>
      </c>
      <c r="O15" s="170" t="s">
        <v>73</v>
      </c>
      <c r="P15" s="170" t="str">
        <f>IF(D10=20,N12,"")</f>
        <v/>
      </c>
      <c r="Q15" s="170"/>
      <c r="R15" s="170"/>
      <c r="S15" s="170"/>
      <c r="T15" s="170"/>
    </row>
    <row r="16" spans="1:21" ht="18" thickTop="1" thickBot="1">
      <c r="A16" s="52"/>
      <c r="B16" s="258" t="s">
        <v>74</v>
      </c>
      <c r="C16" s="259"/>
      <c r="D16" s="157" t="s">
        <v>14</v>
      </c>
      <c r="E16" s="157">
        <f>E12-5</f>
        <v>990</v>
      </c>
      <c r="F16" s="81">
        <f>2*G7</f>
        <v>2</v>
      </c>
      <c r="G16" s="160">
        <f>ROUNDUP(F16/(ROUNDDOWN(VLOOKUP(D16,N23:O25,2,FALSE)/(E16+3),0)),0)</f>
        <v>1</v>
      </c>
      <c r="H16" s="56"/>
      <c r="I16" s="170"/>
      <c r="J16" s="170"/>
      <c r="K16" s="170"/>
      <c r="L16" s="170"/>
      <c r="M16" s="170"/>
      <c r="N16" s="170"/>
      <c r="O16" s="170"/>
      <c r="P16" s="170"/>
      <c r="Q16" s="170"/>
      <c r="R16" s="170"/>
      <c r="S16" s="170"/>
      <c r="T16" s="170"/>
    </row>
    <row r="17" spans="1:20" ht="17.25" thickBot="1">
      <c r="A17" s="52"/>
      <c r="B17" s="249" t="s">
        <v>155</v>
      </c>
      <c r="C17" s="250"/>
      <c r="D17" s="251" t="s">
        <v>12</v>
      </c>
      <c r="E17" s="153">
        <f>E12</f>
        <v>995</v>
      </c>
      <c r="F17" s="260">
        <f>G7+1</f>
        <v>2</v>
      </c>
      <c r="G17" s="261">
        <f>ROUNDUP(F17/(ROUNDDOWN(VLOOKUP(D17,N23:O25,2,FALSE)/(E18+3),0)),0)</f>
        <v>1</v>
      </c>
      <c r="H17" s="56"/>
      <c r="I17" s="170"/>
      <c r="J17" s="170"/>
      <c r="K17" s="170"/>
      <c r="L17" s="170"/>
      <c r="M17" s="170" t="s">
        <v>75</v>
      </c>
      <c r="N17" s="170">
        <f>SUM(N13:N15)</f>
        <v>30</v>
      </c>
      <c r="O17" s="170" t="s">
        <v>210</v>
      </c>
      <c r="P17" s="170">
        <f>SUM(P13:P15)</f>
        <v>0</v>
      </c>
      <c r="Q17" s="170"/>
      <c r="R17" s="170"/>
      <c r="S17" s="170"/>
      <c r="T17" s="170"/>
    </row>
    <row r="18" spans="1:20" ht="17.25" thickBot="1">
      <c r="A18" s="52"/>
      <c r="B18" s="249" t="s">
        <v>156</v>
      </c>
      <c r="C18" s="250"/>
      <c r="D18" s="251"/>
      <c r="E18" s="153">
        <f>G12-8</f>
        <v>1045</v>
      </c>
      <c r="F18" s="251"/>
      <c r="G18" s="262"/>
      <c r="H18" s="56"/>
      <c r="I18" s="170"/>
      <c r="J18" s="170"/>
      <c r="K18" s="170"/>
      <c r="L18" s="170"/>
      <c r="M18" s="170"/>
      <c r="N18" s="170"/>
      <c r="O18" s="170"/>
      <c r="P18" s="170"/>
      <c r="Q18" s="170"/>
      <c r="R18" s="170"/>
      <c r="S18" s="170"/>
      <c r="T18" s="170"/>
    </row>
    <row r="19" spans="1:20" ht="17.25" thickBot="1">
      <c r="A19" s="52"/>
      <c r="B19" s="95" t="s">
        <v>135</v>
      </c>
      <c r="C19" s="96"/>
      <c r="D19" s="154" t="s">
        <v>5</v>
      </c>
      <c r="E19" s="154">
        <f>C7-77</f>
        <v>923</v>
      </c>
      <c r="F19" s="158">
        <f>G7*G10</f>
        <v>16</v>
      </c>
      <c r="G19" s="159">
        <f>ROUNDUP(F19/(ROUNDDOWN(VLOOKUP(D19,N23:O25,2,FALSE)/(E19+3),0)),0)</f>
        <v>3</v>
      </c>
      <c r="H19" s="56"/>
      <c r="I19" s="170"/>
      <c r="J19" s="170"/>
      <c r="K19" s="170"/>
      <c r="L19" s="170"/>
      <c r="M19" s="170" t="s">
        <v>14</v>
      </c>
      <c r="N19" s="170"/>
      <c r="O19" s="170"/>
      <c r="P19" s="170"/>
      <c r="Q19" s="170"/>
      <c r="R19" s="170"/>
      <c r="S19" s="170"/>
      <c r="T19" s="170"/>
    </row>
    <row r="20" spans="1:20" ht="17.25" thickTop="1">
      <c r="A20" s="52"/>
      <c r="B20" s="66"/>
      <c r="C20" s="66"/>
      <c r="D20" s="65"/>
      <c r="E20" s="65"/>
      <c r="F20" s="84"/>
      <c r="G20" s="84"/>
      <c r="H20" s="56"/>
      <c r="I20" s="170"/>
      <c r="J20" s="170"/>
      <c r="K20" s="170"/>
      <c r="L20" s="170"/>
      <c r="M20" s="170" t="s">
        <v>12</v>
      </c>
      <c r="N20" s="170"/>
      <c r="O20" s="170"/>
      <c r="P20" s="170"/>
      <c r="Q20" s="170"/>
      <c r="R20" s="170"/>
      <c r="S20" s="170"/>
      <c r="T20" s="170"/>
    </row>
    <row r="21" spans="1:20" ht="17.25" thickBot="1">
      <c r="A21" s="52"/>
      <c r="B21" s="80"/>
      <c r="C21" s="80"/>
      <c r="D21" s="78"/>
      <c r="E21" s="78"/>
      <c r="F21" s="78"/>
      <c r="G21" s="78"/>
      <c r="H21" s="56"/>
      <c r="I21" s="170"/>
      <c r="J21" s="170"/>
      <c r="K21" s="170"/>
      <c r="L21" s="170"/>
      <c r="M21" s="170" t="s">
        <v>15</v>
      </c>
      <c r="N21" s="170"/>
      <c r="O21" s="170"/>
      <c r="P21" s="170"/>
      <c r="Q21" s="170"/>
      <c r="R21" s="170"/>
      <c r="S21" s="170"/>
      <c r="T21" s="170"/>
    </row>
    <row r="22" spans="1:20" ht="20.25" thickTop="1" thickBot="1">
      <c r="A22" s="52"/>
      <c r="B22" s="253" t="s">
        <v>78</v>
      </c>
      <c r="C22" s="254"/>
      <c r="D22" s="254"/>
      <c r="E22" s="254"/>
      <c r="F22" s="254"/>
      <c r="G22" s="255"/>
      <c r="H22" s="56"/>
      <c r="I22" s="170"/>
      <c r="J22" s="170"/>
      <c r="K22" s="170"/>
      <c r="L22" s="170"/>
      <c r="M22" s="170" t="s">
        <v>11</v>
      </c>
      <c r="N22" s="170"/>
      <c r="O22" s="170"/>
      <c r="P22" s="170"/>
      <c r="Q22" s="170"/>
      <c r="R22" s="170"/>
      <c r="S22" s="170"/>
      <c r="T22" s="170"/>
    </row>
    <row r="23" spans="1:20" ht="18" thickTop="1" thickBot="1">
      <c r="A23" s="52"/>
      <c r="B23" s="256" t="s">
        <v>79</v>
      </c>
      <c r="C23" s="257"/>
      <c r="D23" s="155" t="s">
        <v>80</v>
      </c>
      <c r="E23" s="155" t="s">
        <v>81</v>
      </c>
      <c r="F23" s="263" t="s">
        <v>70</v>
      </c>
      <c r="G23" s="264"/>
      <c r="H23" s="56"/>
      <c r="I23" s="170"/>
      <c r="J23" s="170"/>
      <c r="K23" s="170"/>
      <c r="L23" s="170"/>
      <c r="M23" s="170" t="s">
        <v>10</v>
      </c>
      <c r="N23" s="170" t="s">
        <v>14</v>
      </c>
      <c r="O23" s="170">
        <v>6500</v>
      </c>
      <c r="P23" s="170"/>
      <c r="Q23" s="170"/>
      <c r="R23" s="170"/>
      <c r="S23" s="170"/>
      <c r="T23" s="170"/>
    </row>
    <row r="24" spans="1:20" ht="18" thickTop="1" thickBot="1">
      <c r="A24" s="52"/>
      <c r="B24" s="258" t="s">
        <v>82</v>
      </c>
      <c r="C24" s="259"/>
      <c r="D24" s="157">
        <v>317673</v>
      </c>
      <c r="E24" s="157" t="s">
        <v>83</v>
      </c>
      <c r="F24" s="265">
        <f>4*G7</f>
        <v>4</v>
      </c>
      <c r="G24" s="266"/>
      <c r="H24" s="56"/>
      <c r="I24" s="170"/>
      <c r="J24" s="170"/>
      <c r="K24" s="170"/>
      <c r="L24" s="170"/>
      <c r="M24" s="170"/>
      <c r="N24" s="170" t="s">
        <v>12</v>
      </c>
      <c r="O24" s="170">
        <v>6500</v>
      </c>
      <c r="P24" s="170"/>
      <c r="Q24" s="170"/>
      <c r="R24" s="170"/>
      <c r="S24" s="170"/>
      <c r="T24" s="170"/>
    </row>
    <row r="25" spans="1:20" ht="17.25" thickBot="1">
      <c r="A25" s="52"/>
      <c r="B25" s="162" t="s">
        <v>84</v>
      </c>
      <c r="C25" s="163"/>
      <c r="D25" s="161">
        <v>317671</v>
      </c>
      <c r="E25" s="161" t="s">
        <v>83</v>
      </c>
      <c r="F25" s="276">
        <f>N17*G7</f>
        <v>30</v>
      </c>
      <c r="G25" s="277"/>
      <c r="H25" s="56"/>
      <c r="I25" s="170"/>
      <c r="J25" s="170"/>
      <c r="K25" s="170"/>
      <c r="L25" s="170"/>
      <c r="M25" s="170"/>
      <c r="N25" s="170" t="s">
        <v>5</v>
      </c>
      <c r="O25" s="170">
        <v>6500</v>
      </c>
      <c r="P25" s="170"/>
      <c r="Q25" s="170"/>
      <c r="R25" s="170"/>
      <c r="S25" s="170"/>
      <c r="T25" s="170"/>
    </row>
    <row r="26" spans="1:20" ht="17.25" thickBot="1">
      <c r="A26" s="52"/>
      <c r="B26" s="162" t="s">
        <v>85</v>
      </c>
      <c r="C26" s="163"/>
      <c r="D26" s="161">
        <v>317672</v>
      </c>
      <c r="E26" s="161" t="s">
        <v>83</v>
      </c>
      <c r="F26" s="276">
        <f>P17*G7</f>
        <v>0</v>
      </c>
      <c r="G26" s="277"/>
      <c r="H26" s="56"/>
      <c r="I26" s="170"/>
      <c r="J26" s="170"/>
      <c r="K26" s="170"/>
      <c r="L26" s="170"/>
      <c r="M26" s="170"/>
      <c r="N26" s="170"/>
      <c r="O26" s="170"/>
      <c r="P26" s="170"/>
      <c r="Q26" s="170"/>
      <c r="R26" s="170"/>
      <c r="S26" s="170"/>
      <c r="T26" s="170"/>
    </row>
    <row r="27" spans="1:20" ht="17.25" thickBot="1">
      <c r="A27" s="52"/>
      <c r="B27" s="249" t="s">
        <v>86</v>
      </c>
      <c r="C27" s="250"/>
      <c r="D27" s="153">
        <v>309327</v>
      </c>
      <c r="E27" s="153" t="s">
        <v>83</v>
      </c>
      <c r="F27" s="251">
        <f>4*G7</f>
        <v>4</v>
      </c>
      <c r="G27" s="252"/>
      <c r="H27" s="56"/>
      <c r="I27" s="170"/>
      <c r="J27" s="170"/>
      <c r="K27" s="170"/>
      <c r="L27" s="170"/>
      <c r="M27" s="170"/>
      <c r="N27" s="170"/>
      <c r="O27" s="170"/>
      <c r="P27" s="170"/>
      <c r="Q27" s="170"/>
      <c r="R27" s="170"/>
      <c r="S27" s="170"/>
      <c r="T27" s="170"/>
    </row>
    <row r="28" spans="1:20" ht="17.25" thickBot="1">
      <c r="A28" s="52"/>
      <c r="B28" s="268" t="s">
        <v>139</v>
      </c>
      <c r="C28" s="269"/>
      <c r="D28" s="153">
        <v>320003</v>
      </c>
      <c r="E28" s="153" t="s">
        <v>140</v>
      </c>
      <c r="F28" s="276">
        <f>G7*G10</f>
        <v>16</v>
      </c>
      <c r="G28" s="277"/>
      <c r="H28" s="56"/>
      <c r="I28" s="170"/>
      <c r="J28" s="170"/>
      <c r="K28" s="170"/>
      <c r="L28" s="170"/>
      <c r="M28" s="170"/>
      <c r="N28" s="170"/>
      <c r="O28" s="170"/>
      <c r="P28" s="170"/>
      <c r="Q28" s="170"/>
      <c r="R28" s="170"/>
      <c r="S28" s="170"/>
      <c r="T28" s="170"/>
    </row>
    <row r="29" spans="1:20" ht="17.25" thickBot="1">
      <c r="A29" s="52"/>
      <c r="B29" s="249" t="s">
        <v>137</v>
      </c>
      <c r="C29" s="250"/>
      <c r="D29" s="153">
        <v>300059</v>
      </c>
      <c r="E29" s="153" t="s">
        <v>83</v>
      </c>
      <c r="F29" s="276">
        <f>2*F28</f>
        <v>32</v>
      </c>
      <c r="G29" s="277"/>
      <c r="H29" s="56"/>
      <c r="I29" s="170"/>
      <c r="J29" s="170"/>
      <c r="K29" s="170"/>
      <c r="L29" s="170"/>
      <c r="M29" s="170"/>
      <c r="N29" s="170"/>
      <c r="O29" s="170"/>
      <c r="P29" s="170"/>
      <c r="Q29" s="170"/>
      <c r="R29" s="170"/>
      <c r="S29" s="170"/>
      <c r="T29" s="170"/>
    </row>
    <row r="30" spans="1:20" ht="17.25" thickBot="1">
      <c r="A30" s="52"/>
      <c r="B30" s="249" t="s">
        <v>136</v>
      </c>
      <c r="C30" s="250"/>
      <c r="D30" s="153">
        <v>317676</v>
      </c>
      <c r="E30" s="153" t="s">
        <v>83</v>
      </c>
      <c r="F30" s="260">
        <f>2*F28</f>
        <v>32</v>
      </c>
      <c r="G30" s="267"/>
      <c r="H30" s="56"/>
      <c r="I30" s="170"/>
      <c r="J30" s="170"/>
      <c r="K30" s="170"/>
      <c r="L30" s="170"/>
      <c r="M30" s="170"/>
      <c r="N30" s="170"/>
      <c r="O30" s="170"/>
      <c r="P30" s="170"/>
      <c r="Q30" s="170"/>
      <c r="R30" s="170"/>
      <c r="S30" s="170"/>
      <c r="T30" s="170"/>
    </row>
    <row r="31" spans="1:20" ht="17.25" thickBot="1">
      <c r="A31" s="52"/>
      <c r="B31" s="268" t="s">
        <v>193</v>
      </c>
      <c r="C31" s="269"/>
      <c r="D31" s="153">
        <v>309153</v>
      </c>
      <c r="E31" s="153" t="s">
        <v>83</v>
      </c>
      <c r="F31" s="270">
        <f>4*G7</f>
        <v>4</v>
      </c>
      <c r="G31" s="271"/>
      <c r="H31" s="56"/>
      <c r="I31" s="170"/>
      <c r="J31" s="170"/>
      <c r="K31" s="170"/>
      <c r="L31" s="170"/>
      <c r="M31" s="170"/>
      <c r="N31" s="170"/>
      <c r="O31" s="170"/>
      <c r="P31" s="170"/>
      <c r="Q31" s="170"/>
      <c r="R31" s="170"/>
      <c r="S31" s="170"/>
      <c r="T31" s="170"/>
    </row>
    <row r="32" spans="1:20" ht="17.25" thickBot="1">
      <c r="A32" s="52"/>
      <c r="B32" s="249" t="s">
        <v>87</v>
      </c>
      <c r="C32" s="250"/>
      <c r="D32" s="103" t="s">
        <v>159</v>
      </c>
      <c r="E32" s="153" t="s">
        <v>83</v>
      </c>
      <c r="F32" s="260">
        <f>MAX((2*(ROUNDUP((E16/300),0)+1)*G7),4)</f>
        <v>10</v>
      </c>
      <c r="G32" s="267"/>
      <c r="H32" s="56"/>
      <c r="I32" s="170"/>
      <c r="J32" s="170"/>
      <c r="K32" s="170"/>
      <c r="L32" s="170"/>
      <c r="M32" s="170"/>
      <c r="N32" s="170"/>
      <c r="O32" s="170"/>
      <c r="P32" s="170"/>
      <c r="Q32" s="170"/>
      <c r="R32" s="170"/>
      <c r="S32" s="170"/>
      <c r="T32" s="170">
        <f>E18*F17</f>
        <v>2090</v>
      </c>
    </row>
    <row r="33" spans="1:21" ht="17.25" thickBot="1">
      <c r="A33" s="52"/>
      <c r="B33" s="249" t="s">
        <v>88</v>
      </c>
      <c r="C33" s="250"/>
      <c r="D33" s="153">
        <v>306668</v>
      </c>
      <c r="E33" s="153" t="s">
        <v>83</v>
      </c>
      <c r="F33" s="251">
        <f>F17</f>
        <v>2</v>
      </c>
      <c r="G33" s="252"/>
      <c r="H33" s="56"/>
      <c r="I33" s="170"/>
      <c r="J33" s="170"/>
      <c r="K33" s="170"/>
      <c r="L33" s="170"/>
      <c r="M33" s="170"/>
      <c r="N33" s="170"/>
      <c r="O33" s="170"/>
      <c r="P33" s="170"/>
      <c r="Q33" s="170"/>
      <c r="R33" s="170"/>
      <c r="S33" s="170"/>
      <c r="T33" s="170"/>
    </row>
    <row r="34" spans="1:21" ht="17.25" thickBot="1">
      <c r="A34" s="52"/>
      <c r="B34" s="272" t="s">
        <v>23</v>
      </c>
      <c r="C34" s="273"/>
      <c r="D34" s="154">
        <v>301405</v>
      </c>
      <c r="E34" s="154" t="s">
        <v>83</v>
      </c>
      <c r="F34" s="274">
        <f>F17</f>
        <v>2</v>
      </c>
      <c r="G34" s="275"/>
      <c r="H34" s="56"/>
      <c r="I34" s="170"/>
      <c r="J34" s="170"/>
      <c r="K34" s="170"/>
      <c r="L34" s="170"/>
      <c r="M34" s="170"/>
      <c r="N34" s="170"/>
      <c r="O34" s="170"/>
      <c r="P34" s="170"/>
      <c r="Q34" s="170"/>
      <c r="R34" s="170"/>
      <c r="S34" s="170"/>
      <c r="T34" s="170">
        <f>SUM(T32:T33)</f>
        <v>2090</v>
      </c>
    </row>
    <row r="35" spans="1:21" ht="17.25" thickTop="1">
      <c r="A35" s="33"/>
      <c r="B35" s="9"/>
      <c r="C35" s="9"/>
      <c r="D35" s="10"/>
      <c r="E35" s="10"/>
      <c r="F35" s="11"/>
      <c r="G35" s="11"/>
      <c r="H35" s="34"/>
      <c r="I35" s="170"/>
      <c r="J35" s="170"/>
      <c r="K35" s="170"/>
      <c r="L35" s="170"/>
      <c r="M35" s="170"/>
      <c r="N35" s="170"/>
      <c r="O35" s="170"/>
      <c r="P35" s="170"/>
      <c r="Q35" s="170"/>
      <c r="R35" s="170"/>
      <c r="S35" s="170"/>
      <c r="T35" s="170">
        <f>T34/6500</f>
        <v>0.32153846153846155</v>
      </c>
    </row>
    <row r="36" spans="1:21" ht="16.5">
      <c r="A36" s="33"/>
      <c r="B36" s="11"/>
      <c r="C36" s="11"/>
      <c r="D36" s="11"/>
      <c r="E36" s="11"/>
      <c r="F36" s="11"/>
      <c r="G36" s="11"/>
      <c r="H36" s="34"/>
    </row>
    <row r="37" spans="1:21" ht="16.5">
      <c r="A37" s="33"/>
      <c r="B37" s="11"/>
      <c r="C37" s="11"/>
      <c r="D37" s="11"/>
      <c r="E37" s="11"/>
      <c r="F37" s="11"/>
      <c r="G37" s="11"/>
      <c r="H37" s="37"/>
    </row>
    <row r="38" spans="1:21" ht="16.5">
      <c r="A38" s="38"/>
      <c r="B38" s="11"/>
      <c r="C38" s="11"/>
      <c r="D38" s="11"/>
      <c r="E38" s="11"/>
      <c r="F38" s="11"/>
      <c r="G38" s="11"/>
      <c r="H38" s="37"/>
    </row>
    <row r="39" spans="1:21" ht="16.5">
      <c r="A39" s="38"/>
      <c r="B39" s="11"/>
      <c r="C39" s="11"/>
      <c r="D39" s="11"/>
      <c r="E39" s="11"/>
      <c r="F39" s="11"/>
      <c r="G39" s="11"/>
      <c r="H39" s="37"/>
    </row>
    <row r="40" spans="1:21" ht="15" customHeight="1">
      <c r="A40" s="38"/>
      <c r="B40" s="11"/>
      <c r="C40" s="11"/>
      <c r="D40" s="11"/>
      <c r="E40" s="11"/>
      <c r="F40" s="11"/>
      <c r="G40" s="11"/>
      <c r="H40" s="37"/>
      <c r="I40" s="176"/>
      <c r="J40" s="176"/>
      <c r="K40" s="176"/>
      <c r="L40" s="176"/>
      <c r="M40" s="176"/>
      <c r="N40" s="176"/>
      <c r="O40" s="176"/>
      <c r="P40" s="176"/>
      <c r="Q40" s="176"/>
      <c r="R40" s="176"/>
      <c r="S40" s="176"/>
      <c r="T40" s="176"/>
      <c r="U40" s="176"/>
    </row>
    <row r="41" spans="1:21" ht="15" customHeight="1">
      <c r="A41" s="38"/>
      <c r="B41" s="11"/>
      <c r="C41" s="11"/>
      <c r="D41" s="11"/>
      <c r="E41" s="11"/>
      <c r="F41" s="11"/>
      <c r="G41" s="11"/>
      <c r="H41" s="37"/>
      <c r="I41" s="176"/>
      <c r="J41" s="176"/>
      <c r="K41" s="176"/>
      <c r="L41" s="176"/>
      <c r="M41" s="176"/>
      <c r="N41" s="176"/>
      <c r="O41" s="176"/>
      <c r="P41" s="176"/>
      <c r="Q41" s="176"/>
      <c r="R41" s="176"/>
      <c r="S41" s="176"/>
      <c r="T41" s="176"/>
      <c r="U41" s="176"/>
    </row>
    <row r="42" spans="1:21" ht="15" customHeight="1">
      <c r="A42" s="38"/>
      <c r="B42" s="11"/>
      <c r="C42" s="11"/>
      <c r="D42" s="11"/>
      <c r="E42" s="11"/>
      <c r="F42" s="11"/>
      <c r="G42" s="11"/>
      <c r="H42" s="37"/>
      <c r="I42" s="176"/>
      <c r="J42" s="176"/>
      <c r="K42" s="176"/>
      <c r="L42" s="176"/>
      <c r="M42" s="176"/>
      <c r="N42" s="176"/>
      <c r="O42" s="176"/>
      <c r="P42" s="176"/>
      <c r="Q42" s="176"/>
      <c r="R42" s="176"/>
      <c r="S42" s="176"/>
      <c r="T42" s="176"/>
      <c r="U42" s="176"/>
    </row>
    <row r="43" spans="1:21" ht="15" customHeight="1">
      <c r="A43" s="38"/>
      <c r="B43" s="11"/>
      <c r="C43" s="11"/>
      <c r="D43" s="11"/>
      <c r="E43" s="11"/>
      <c r="F43" s="11"/>
      <c r="G43" s="11"/>
      <c r="H43" s="37"/>
      <c r="I43" s="176"/>
      <c r="J43" s="176"/>
      <c r="K43" s="176"/>
      <c r="L43" s="176"/>
      <c r="M43" s="176"/>
      <c r="N43" s="176"/>
      <c r="O43" s="176"/>
      <c r="P43" s="176"/>
      <c r="Q43" s="176"/>
      <c r="R43" s="176"/>
      <c r="S43" s="176"/>
      <c r="T43" s="176"/>
      <c r="U43" s="176"/>
    </row>
    <row r="44" spans="1:21" ht="15" customHeight="1">
      <c r="A44" s="38"/>
      <c r="B44" s="11"/>
      <c r="C44" s="11"/>
      <c r="D44" s="11"/>
      <c r="E44" s="11"/>
      <c r="F44" s="11"/>
      <c r="G44" s="11"/>
      <c r="H44" s="37"/>
      <c r="I44" s="176"/>
      <c r="J44" s="176"/>
      <c r="K44" s="176"/>
      <c r="L44" s="176"/>
      <c r="M44" s="176"/>
      <c r="N44" s="176"/>
      <c r="O44" s="176"/>
      <c r="P44" s="176"/>
      <c r="Q44" s="176"/>
      <c r="R44" s="176"/>
      <c r="S44" s="176"/>
      <c r="T44" s="176"/>
      <c r="U44" s="176"/>
    </row>
    <row r="45" spans="1:21" ht="15" customHeight="1">
      <c r="A45" s="38"/>
      <c r="B45" s="11"/>
      <c r="C45" s="11"/>
      <c r="D45" s="11"/>
      <c r="E45" s="11"/>
      <c r="F45" s="11"/>
      <c r="G45" s="11"/>
      <c r="H45" s="37"/>
      <c r="I45" s="176"/>
      <c r="J45" s="176"/>
      <c r="K45" s="176"/>
      <c r="L45" s="176"/>
      <c r="M45" s="176"/>
      <c r="N45" s="176"/>
      <c r="O45" s="176"/>
      <c r="P45" s="176"/>
      <c r="Q45" s="176"/>
      <c r="R45" s="176"/>
      <c r="S45" s="176"/>
      <c r="T45" s="176"/>
      <c r="U45" s="176"/>
    </row>
    <row r="46" spans="1:21" ht="15" customHeight="1">
      <c r="A46" s="38"/>
      <c r="B46" s="11"/>
      <c r="C46" s="11"/>
      <c r="D46" s="11"/>
      <c r="E46" s="11"/>
      <c r="F46" s="11"/>
      <c r="G46" s="11"/>
      <c r="H46" s="37"/>
      <c r="I46" s="176"/>
      <c r="J46" s="176"/>
      <c r="K46" s="176"/>
      <c r="L46" s="176"/>
      <c r="M46" s="176"/>
      <c r="N46" s="176"/>
      <c r="O46" s="176"/>
      <c r="P46" s="176"/>
      <c r="Q46" s="176"/>
      <c r="R46" s="176"/>
      <c r="S46" s="176"/>
      <c r="T46" s="176"/>
      <c r="U46" s="176"/>
    </row>
    <row r="47" spans="1:21" ht="15" customHeight="1">
      <c r="A47" s="38"/>
      <c r="B47" s="11"/>
      <c r="C47" s="11"/>
      <c r="D47" s="11"/>
      <c r="E47" s="11"/>
      <c r="F47" s="11"/>
      <c r="G47" s="11"/>
      <c r="H47" s="37"/>
      <c r="I47" s="176"/>
      <c r="J47" s="176"/>
      <c r="K47" s="176"/>
      <c r="L47" s="176"/>
      <c r="M47" s="176"/>
      <c r="N47" s="176"/>
      <c r="O47" s="176"/>
      <c r="P47" s="176"/>
      <c r="Q47" s="176"/>
      <c r="R47" s="176"/>
      <c r="S47" s="176"/>
      <c r="T47" s="176"/>
      <c r="U47" s="176"/>
    </row>
    <row r="48" spans="1:21" ht="15" customHeight="1">
      <c r="A48" s="38"/>
      <c r="B48" s="11"/>
      <c r="C48" s="11"/>
      <c r="D48" s="11"/>
      <c r="E48" s="11"/>
      <c r="F48" s="11"/>
      <c r="G48" s="11"/>
      <c r="H48" s="37"/>
      <c r="I48" s="176"/>
      <c r="J48" s="176"/>
      <c r="K48" s="176"/>
      <c r="L48" s="176"/>
      <c r="M48" s="176"/>
      <c r="N48" s="176"/>
      <c r="O48" s="176"/>
      <c r="P48" s="176"/>
      <c r="Q48" s="176"/>
      <c r="R48" s="176"/>
      <c r="S48" s="176"/>
      <c r="T48" s="176"/>
      <c r="U48" s="176"/>
    </row>
    <row r="49" spans="1:21" ht="15" customHeight="1">
      <c r="A49" s="38"/>
      <c r="B49" s="11"/>
      <c r="C49" s="11"/>
      <c r="D49" s="11"/>
      <c r="E49" s="11"/>
      <c r="F49" s="11"/>
      <c r="G49" s="11"/>
      <c r="H49" s="37"/>
      <c r="I49" s="176"/>
      <c r="J49" s="176"/>
      <c r="K49" s="176"/>
      <c r="L49" s="176"/>
      <c r="M49" s="176"/>
      <c r="N49" s="176"/>
      <c r="O49" s="176"/>
      <c r="P49" s="176"/>
      <c r="Q49" s="176"/>
      <c r="R49" s="176"/>
      <c r="S49" s="176"/>
      <c r="T49" s="176"/>
      <c r="U49" s="176"/>
    </row>
    <row r="50" spans="1:21" ht="15" customHeight="1">
      <c r="A50" s="38"/>
      <c r="B50" s="11"/>
      <c r="C50" s="11"/>
      <c r="D50" s="11"/>
      <c r="E50" s="11"/>
      <c r="F50" s="11"/>
      <c r="G50" s="11"/>
      <c r="H50" s="37"/>
      <c r="I50" s="176"/>
      <c r="J50" s="176"/>
      <c r="K50" s="176"/>
      <c r="L50" s="176"/>
      <c r="M50" s="176"/>
      <c r="N50" s="176"/>
      <c r="O50" s="176"/>
      <c r="P50" s="176"/>
      <c r="Q50" s="176"/>
      <c r="R50" s="176"/>
      <c r="S50" s="176"/>
      <c r="T50" s="176"/>
      <c r="U50" s="176"/>
    </row>
    <row r="51" spans="1:21" ht="15" customHeight="1">
      <c r="A51" s="38"/>
      <c r="B51" s="11"/>
      <c r="C51" s="11"/>
      <c r="D51" s="11"/>
      <c r="E51" s="11"/>
      <c r="F51" s="11"/>
      <c r="G51" s="11"/>
      <c r="H51" s="37"/>
      <c r="I51" s="176"/>
      <c r="J51" s="176"/>
      <c r="K51" s="176"/>
      <c r="L51" s="176"/>
      <c r="M51" s="176"/>
      <c r="N51" s="176"/>
      <c r="O51" s="176"/>
      <c r="P51" s="176"/>
      <c r="Q51" s="176"/>
      <c r="R51" s="176"/>
      <c r="S51" s="176"/>
      <c r="T51" s="176"/>
      <c r="U51" s="176"/>
    </row>
    <row r="52" spans="1:21" ht="15" customHeight="1">
      <c r="A52" s="38"/>
      <c r="B52" s="11"/>
      <c r="C52" s="11"/>
      <c r="D52" s="11"/>
      <c r="E52" s="11"/>
      <c r="F52" s="11"/>
      <c r="G52" s="11"/>
      <c r="H52" s="37"/>
      <c r="I52" s="176"/>
      <c r="J52" s="176"/>
      <c r="K52" s="176"/>
      <c r="L52" s="176"/>
      <c r="M52" s="176"/>
      <c r="N52" s="176"/>
      <c r="O52" s="176"/>
      <c r="P52" s="176"/>
      <c r="Q52" s="176"/>
      <c r="R52" s="176"/>
      <c r="S52" s="176"/>
      <c r="T52" s="176"/>
      <c r="U52" s="176"/>
    </row>
    <row r="53" spans="1:21" ht="15" customHeight="1">
      <c r="A53" s="38"/>
      <c r="B53" s="11"/>
      <c r="C53" s="11"/>
      <c r="D53" s="11"/>
      <c r="E53" s="11"/>
      <c r="F53" s="11"/>
      <c r="G53" s="11"/>
      <c r="H53" s="37"/>
      <c r="I53" s="176"/>
      <c r="J53" s="176"/>
      <c r="K53" s="176"/>
      <c r="L53" s="176"/>
      <c r="M53" s="176"/>
      <c r="N53" s="176"/>
      <c r="O53" s="176"/>
      <c r="P53" s="176"/>
      <c r="Q53" s="176"/>
      <c r="R53" s="176"/>
      <c r="S53" s="176"/>
      <c r="T53" s="176"/>
      <c r="U53" s="176"/>
    </row>
    <row r="54" spans="1:21" ht="15" customHeight="1">
      <c r="A54" s="38"/>
      <c r="B54" s="11"/>
      <c r="C54" s="11"/>
      <c r="D54" s="11"/>
      <c r="E54" s="11"/>
      <c r="F54" s="11"/>
      <c r="G54" s="11"/>
      <c r="H54" s="37"/>
      <c r="I54" s="176"/>
      <c r="J54" s="176"/>
      <c r="K54" s="176"/>
      <c r="L54" s="176"/>
      <c r="M54" s="176"/>
      <c r="N54" s="176"/>
      <c r="O54" s="176"/>
      <c r="P54" s="176"/>
      <c r="Q54" s="176"/>
      <c r="R54" s="176"/>
      <c r="S54" s="176"/>
      <c r="T54" s="176"/>
      <c r="U54" s="176"/>
    </row>
    <row r="55" spans="1:21" ht="15" customHeight="1">
      <c r="A55" s="38"/>
      <c r="B55" s="11"/>
      <c r="C55" s="11"/>
      <c r="D55" s="11"/>
      <c r="E55" s="11"/>
      <c r="F55" s="11"/>
      <c r="G55" s="11"/>
      <c r="H55" s="37"/>
      <c r="I55" s="176"/>
      <c r="J55" s="176"/>
      <c r="K55" s="176"/>
      <c r="L55" s="176"/>
      <c r="M55" s="176"/>
      <c r="N55" s="176"/>
      <c r="O55" s="176"/>
      <c r="P55" s="176"/>
      <c r="Q55" s="176"/>
      <c r="R55" s="176"/>
      <c r="S55" s="176"/>
      <c r="T55" s="176"/>
      <c r="U55" s="176"/>
    </row>
    <row r="56" spans="1:21" ht="15" customHeight="1">
      <c r="A56" s="38"/>
      <c r="B56" s="11"/>
      <c r="C56" s="11"/>
      <c r="D56" s="11"/>
      <c r="E56" s="11"/>
      <c r="F56" s="11"/>
      <c r="G56" s="11"/>
      <c r="H56" s="37"/>
    </row>
    <row r="57" spans="1:21" ht="15" customHeight="1">
      <c r="A57" s="38"/>
      <c r="B57" s="11"/>
      <c r="C57" s="11"/>
      <c r="D57" s="11"/>
      <c r="E57" s="11"/>
      <c r="F57" s="11"/>
      <c r="G57" s="11"/>
      <c r="H57" s="37"/>
    </row>
    <row r="58" spans="1:21" ht="15" customHeight="1">
      <c r="A58" s="38"/>
      <c r="B58" s="11"/>
      <c r="C58" s="11"/>
      <c r="D58" s="11"/>
      <c r="E58" s="11"/>
      <c r="F58" s="11"/>
      <c r="G58" s="11"/>
      <c r="H58" s="37"/>
    </row>
    <row r="59" spans="1:21" ht="15" customHeight="1">
      <c r="A59" s="38"/>
      <c r="B59" s="11"/>
      <c r="C59" s="11"/>
      <c r="D59" s="11"/>
      <c r="E59" s="11"/>
      <c r="F59" s="11"/>
      <c r="G59" s="11"/>
      <c r="H59" s="37"/>
    </row>
    <row r="60" spans="1:21" ht="15" customHeight="1">
      <c r="A60" s="38"/>
      <c r="B60" s="11"/>
      <c r="C60" s="11"/>
      <c r="D60" s="11"/>
      <c r="E60" s="11"/>
      <c r="F60" s="11"/>
      <c r="G60" s="11"/>
      <c r="H60" s="37"/>
    </row>
    <row r="61" spans="1:21" ht="15" customHeight="1">
      <c r="A61" s="38"/>
      <c r="B61" s="11"/>
      <c r="C61" s="11"/>
      <c r="D61" s="11"/>
      <c r="E61" s="11"/>
      <c r="F61" s="11"/>
      <c r="G61" s="11"/>
      <c r="H61" s="37"/>
    </row>
    <row r="62" spans="1:21" ht="15" customHeight="1">
      <c r="A62" s="38"/>
      <c r="B62" s="11"/>
      <c r="C62" s="11"/>
      <c r="D62" s="11"/>
      <c r="E62" s="11"/>
      <c r="F62" s="11"/>
      <c r="G62" s="11"/>
      <c r="H62" s="37"/>
    </row>
    <row r="63" spans="1:21" ht="15" customHeight="1">
      <c r="A63" s="38"/>
      <c r="H63" s="37"/>
    </row>
    <row r="64" spans="1:21" ht="15" customHeight="1">
      <c r="A64" s="38"/>
      <c r="B64" s="182" t="s">
        <v>160</v>
      </c>
      <c r="C64" s="234"/>
      <c r="D64" s="234"/>
      <c r="E64" s="234"/>
      <c r="F64" s="234"/>
      <c r="G64" s="234"/>
      <c r="H64" s="37"/>
    </row>
    <row r="65" spans="1:8">
      <c r="A65" s="38"/>
      <c r="B65" s="234"/>
      <c r="C65" s="234"/>
      <c r="D65" s="234"/>
      <c r="E65" s="234"/>
      <c r="F65" s="234"/>
      <c r="G65" s="234"/>
      <c r="H65" s="37"/>
    </row>
    <row r="66" spans="1:8">
      <c r="A66" s="38"/>
      <c r="B66" s="234"/>
      <c r="C66" s="234"/>
      <c r="D66" s="234"/>
      <c r="E66" s="234"/>
      <c r="F66" s="234"/>
      <c r="G66" s="234"/>
      <c r="H66" s="37"/>
    </row>
    <row r="67" spans="1:8" ht="15.75" thickBot="1">
      <c r="A67" s="40"/>
      <c r="B67" s="41"/>
      <c r="C67" s="41"/>
      <c r="D67" s="42"/>
      <c r="E67" s="42"/>
      <c r="F67" s="42"/>
      <c r="G67" s="42"/>
      <c r="H67" s="43"/>
    </row>
    <row r="68" spans="1:8" ht="15.75" thickTop="1"/>
  </sheetData>
  <sheetProtection password="DE70" sheet="1" objects="1" scenarios="1"/>
  <mergeCells count="38">
    <mergeCell ref="B34:C34"/>
    <mergeCell ref="F34:G34"/>
    <mergeCell ref="B64:G66"/>
    <mergeCell ref="B31:C31"/>
    <mergeCell ref="F31:G31"/>
    <mergeCell ref="B32:C32"/>
    <mergeCell ref="F32:G32"/>
    <mergeCell ref="B33:C33"/>
    <mergeCell ref="F33:G33"/>
    <mergeCell ref="B28:C28"/>
    <mergeCell ref="F28:G28"/>
    <mergeCell ref="B29:C29"/>
    <mergeCell ref="F29:G29"/>
    <mergeCell ref="B30:C30"/>
    <mergeCell ref="F30:G30"/>
    <mergeCell ref="B27:C27"/>
    <mergeCell ref="F27:G27"/>
    <mergeCell ref="B14:G14"/>
    <mergeCell ref="B15:C15"/>
    <mergeCell ref="B16:C16"/>
    <mergeCell ref="B17:C17"/>
    <mergeCell ref="D17:D18"/>
    <mergeCell ref="F17:F18"/>
    <mergeCell ref="G17:G18"/>
    <mergeCell ref="B18:C18"/>
    <mergeCell ref="B22:G22"/>
    <mergeCell ref="B23:C23"/>
    <mergeCell ref="F23:G23"/>
    <mergeCell ref="B24:C24"/>
    <mergeCell ref="F24:G24"/>
    <mergeCell ref="A5:H5"/>
    <mergeCell ref="F26:G26"/>
    <mergeCell ref="F25:G25"/>
    <mergeCell ref="A1:H2"/>
    <mergeCell ref="A3:C3"/>
    <mergeCell ref="D3:H3"/>
    <mergeCell ref="A4:C4"/>
    <mergeCell ref="D4:H4"/>
  </mergeCells>
  <dataValidations disablePrompts="1" count="1">
    <dataValidation type="list" allowBlank="1" showInputMessage="1" showErrorMessage="1" sqref="B10:D10">
      <formula1>$M$7:$M$9</formula1>
    </dataValidation>
  </dataValidations>
  <printOptions horizontalCentered="1"/>
  <pageMargins left="0.59055118110236227" right="0.59055118110236227" top="0.59055118110236227" bottom="0.59055118110236227" header="0" footer="0"/>
  <pageSetup paperSize="9" scale="59" orientation="portrait" r:id="rId1"/>
  <headerFooter>
    <oddFooter>&amp;CVersion 1.2 - Jan' 2018&amp;R&amp;A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Index</vt:lpstr>
      <vt:lpstr>Extrusion</vt:lpstr>
      <vt:lpstr>Hardware</vt:lpstr>
      <vt:lpstr>BOM A</vt:lpstr>
      <vt:lpstr>BOM B</vt:lpstr>
      <vt:lpstr>BOM C</vt:lpstr>
      <vt:lpstr>BOM D</vt:lpstr>
      <vt:lpstr>BOM E</vt:lpstr>
      <vt:lpstr>BOM F</vt:lpstr>
      <vt:lpstr>BOM G</vt:lpstr>
      <vt:lpstr>BOM H</vt:lpstr>
      <vt:lpstr>BOM I</vt:lpstr>
      <vt:lpstr>BOM J</vt:lpstr>
      <vt:lpstr>BOM K</vt:lpstr>
      <vt:lpstr>BOM L</vt:lpstr>
      <vt:lpstr>'BOM A'!Print_Area</vt:lpstr>
      <vt:lpstr>'BOM B'!Print_Area</vt:lpstr>
      <vt:lpstr>'BOM C'!Print_Area</vt:lpstr>
      <vt:lpstr>'BOM D'!Print_Area</vt:lpstr>
      <vt:lpstr>'BOM E'!Print_Area</vt:lpstr>
      <vt:lpstr>'BOM F'!Print_Area</vt:lpstr>
      <vt:lpstr>'BOM G'!Print_Area</vt:lpstr>
      <vt:lpstr>'BOM H'!Print_Area</vt:lpstr>
      <vt:lpstr>'BOM I'!Print_Area</vt:lpstr>
      <vt:lpstr>'BOM J'!Print_Area</vt:lpstr>
      <vt:lpstr>'BOM K'!Print_Area</vt:lpstr>
      <vt:lpstr>'BOM L'!Print_Area</vt:lpstr>
      <vt:lpstr>Extrusion!Print_Area</vt:lpstr>
      <vt:lpstr>Hardware!Print_Area</vt:lpstr>
      <vt:lpstr>Index!Print_Area</vt:lpstr>
    </vt:vector>
  </TitlesOfParts>
  <Company>Capral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finniem</dc:creator>
  <cp:lastModifiedBy>Karin Glockner</cp:lastModifiedBy>
  <cp:lastPrinted>2017-07-24T02:57:41Z</cp:lastPrinted>
  <dcterms:created xsi:type="dcterms:W3CDTF">2016-08-29T03:36:52Z</dcterms:created>
  <dcterms:modified xsi:type="dcterms:W3CDTF">2018-01-29T02:37:02Z</dcterms:modified>
</cp:coreProperties>
</file>